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Logiciels\FIABISCOPE\"/>
    </mc:Choice>
  </mc:AlternateContent>
  <bookViews>
    <workbookView xWindow="0" yWindow="0" windowWidth="11385" windowHeight="7365" activeTab="1"/>
  </bookViews>
  <sheets>
    <sheet name="Feuil1" sheetId="8" r:id="rId1"/>
    <sheet name="Calcul rentabilité VMC" sheetId="1" r:id="rId2"/>
    <sheet name="Base données" sheetId="6" r:id="rId3"/>
    <sheet name="Lexique" sheetId="4" r:id="rId4"/>
    <sheet name="Notes de version" sheetId="7" r:id="rId5"/>
  </sheets>
  <externalReferences>
    <externalReference r:id="rId6"/>
  </externalReferences>
  <definedNames>
    <definedName name="activer_indiv">'[1]Données de base'!$C$75</definedName>
    <definedName name="Calcul_qinf">'Calcul rentabilité VMC'!$O$427</definedName>
    <definedName name="Calcul_qinf2">'Calcul rentabilité VMC'!$P$427</definedName>
    <definedName name="Calcul_qvmc_1">'Calcul rentabilité VMC'!$O$390</definedName>
    <definedName name="Calcul_qvmc_2">'Calcul rentabilité VMC'!$P$390</definedName>
    <definedName name="Choix_batterie">Lexique!$F$174</definedName>
    <definedName name="Choix_caisson">'Calcul rentabilité VMC'!$H$50</definedName>
    <definedName name="Choix_caisson2">'Calcul rentabilité VMC'!$J$217</definedName>
    <definedName name="Choix_caissonisolé">'Calcul rentabilité VMC'!$H$79</definedName>
    <definedName name="Choix_conduits">'Calcul rentabilité VMC'!$H$58</definedName>
    <definedName name="Choix_conduits2">'Calcul rentabilité VMC'!$L$226</definedName>
    <definedName name="Choix_habitants">'Calcul rentabilité VMC'!$H$19</definedName>
    <definedName name="choix_insatisfaits">'Calcul rentabilité VMC'!$G$523</definedName>
    <definedName name="Choix_meteo">'Calcul rentabilité VMC'!$H$27</definedName>
    <definedName name="Choix_nété">'Calcul rentabilité VMC'!$C$462</definedName>
    <definedName name="Choix_niveaun50">'Calcul rentabilité VMC'!$H$38</definedName>
    <definedName name="Choix_pcan">'Calcul rentabilité VMC'!$H$70</definedName>
    <definedName name="Choix_pcan_2">'Calcul rentabilité VMC'!$L$225</definedName>
    <definedName name="Choix_piecesp">'Calcul rentabilité VMC'!$H$20</definedName>
    <definedName name="Choix_polluantbati">'Calcul rentabilité VMC'!$G$528</definedName>
    <definedName name="Choix_prix_ch">'Calcul rentabilité VMC'!$H$36</definedName>
    <definedName name="Choix_prixelec">'Calcul rentabilité VMC'!$H$35</definedName>
    <definedName name="Choix_rolepc">'Calcul rentabilité VMC'!$H$72</definedName>
    <definedName name="Choix_type_conduits">Lexique!$E$167:$F$170</definedName>
    <definedName name="Choix_vmc_type">'Calcul rentabilité VMC'!$H$48</definedName>
    <definedName name="Choix_vmc_type_2">'Calcul rentabilité VMC'!$C$225</definedName>
    <definedName name="Choix_vmc_type2">'Calcul rentabilité VMC'!$J$216</definedName>
    <definedName name="Choix_VMCSF">'Calcul rentabilité VMC'!$E$418</definedName>
    <definedName name="Choix_VMCSF2">'Calcul rentabilité VMC'!$F$418</definedName>
    <definedName name="debit">'Calcul rentabilité VMC'!$J$399</definedName>
    <definedName name="dju">'Calcul rentabilité VMC'!$L$390</definedName>
    <definedName name="dju_selection">'Calcul rentabilité VMC'!$L$386</definedName>
    <definedName name="djuperso">'Calcul rentabilité VMC'!$O$27</definedName>
    <definedName name="duree_annuelle">'Base données'!$K$104</definedName>
    <definedName name="gain_GAEA">'Calcul rentabilité VMC'!$M$75</definedName>
    <definedName name="insatisfaits">'Calcul rentabilité VMC'!$F$550:$F$553</definedName>
    <definedName name="meteo">'Base données'!$A$86:$A$120</definedName>
    <definedName name="Nb_cellier">'Calcul rentabilité VMC'!$O$22</definedName>
    <definedName name="Nb_cuisine">'Calcul rentabilité VMC'!$O$19</definedName>
    <definedName name="Nb_sdb">'Calcul rentabilité VMC'!$O$20</definedName>
    <definedName name="Nb_WC_unique">'Calcul rentabilité VMC'!$O$21</definedName>
    <definedName name="ouinon">'Base données'!$J$85:$J$86</definedName>
    <definedName name="rendement">'Base données'!$D$85:$D$90</definedName>
    <definedName name="Selection_caisson">'Base données'!$A$1:$A$39</definedName>
    <definedName name="Selection_caissonisolé">'Calcul rentabilité VMC'!$S$79:$S$80</definedName>
    <definedName name="Selection_exposition">'Base données'!$M$86:$M$87</definedName>
    <definedName name="Selection_n50_RT2005">Lexique!$F$59</definedName>
    <definedName name="Selection_n50_RT2012">Lexique!$F$60</definedName>
    <definedName name="Selection_nbpieces">'Base données'!$D$95:$D$102</definedName>
    <definedName name="Selection_niveaun50">'Base données'!$S$85:$S$89</definedName>
    <definedName name="Selection_protectionvent">'Base données'!$M$89:$M$91</definedName>
    <definedName name="Selection_rolepc">'Base données'!$V$85:$V$89</definedName>
    <definedName name="Selection_surchauffe">'Base données'!$P$85:$P$89</definedName>
    <definedName name="Selection_type_conduits">Lexique!$E$167:$E$170</definedName>
    <definedName name="Selection_Zone">'Base données'!$A$1:$S$39</definedName>
    <definedName name="Shab">'Calcul rentabilité VMC'!$H$21</definedName>
    <definedName name="tableau1b">'Calcul rentabilité VMC'!$F$550:$H$553</definedName>
    <definedName name="tableau1c">'Calcul rentabilité VMC'!$F$557:$I$560</definedName>
    <definedName name="tableau1d">'Calcul rentabilité VMC'!$J$557:$K$559</definedName>
    <definedName name="tableau5b">'Calcul rentabilité VMC'!$F$564:$M$567</definedName>
    <definedName name="tableau5c">'Calcul rentabilité VMC'!$P$563:$Q$567</definedName>
    <definedName name="taux_corrige_vent">'Base données'!$G$104</definedName>
    <definedName name="taux_corrige_vent2">'Base données'!$G$105</definedName>
    <definedName name="Tmini_pcan">'Calcul rentabilité VMC'!$M$76</definedName>
    <definedName name="Valeur_conso_elec1">'Calcul rentabilité VMC'!$O$399</definedName>
    <definedName name="Valeur_conso_elec2">'Calcul rentabilité VMC'!$P$399</definedName>
    <definedName name="Valeur_conso_VMCSF2">'Calcul rentabilité VMC'!$F$405</definedName>
    <definedName name="Valeur_consoVMCSF1">'Calcul rentabilité VMC'!$E$405</definedName>
    <definedName name="Valeur_COP1">'Calcul rentabilité VMC'!$O$418</definedName>
    <definedName name="Valeur_COP2">'Calcul rentabilité VMC'!$P$418</definedName>
    <definedName name="Valeur_Cpair">'Calcul rentabilité VMC'!$J$390</definedName>
    <definedName name="Valeur_e">'Calcul rentabilité VMC'!$E$423</definedName>
    <definedName name="Valeur_Eff1">'Calcul rentabilité VMC'!$J$112</definedName>
    <definedName name="Valeur_Eff2">'Calcul rentabilité VMC'!$J$235</definedName>
    <definedName name="Valeur_f">'Calcul rentabilité VMC'!$L$423</definedName>
    <definedName name="Valeur_gain_pcan1">'Calcul rentabilité VMC'!$O$464</definedName>
    <definedName name="Valeur_gain_pcan2">'Calcul rentabilité VMC'!$P$464</definedName>
    <definedName name="Valeur_gain_total1">'Calcul rentabilité VMC'!$O$413</definedName>
    <definedName name="Valeur_gain_total2">'Calcul rentabilité VMC'!$P$413</definedName>
    <definedName name="Valeur_gain_vmc1">'Calcul rentabilité VMC'!$O$407</definedName>
    <definedName name="Valeur_gain_vmc2">'Calcul rentabilité VMC'!$P$407</definedName>
    <definedName name="Valeur_gainpc_ete">'Calcul rentabilité VMC'!$Q$75</definedName>
    <definedName name="Valeur_Inv_eco">'Calcul rentabilité VMC'!$L$153</definedName>
    <definedName name="Valeur_Inv_VMCDF">'Calcul rentabilité VMC'!$L$152</definedName>
    <definedName name="Valeur_Inv_Vmcdf2">'Calcul rentabilité VMC'!$F$415</definedName>
    <definedName name="valeur_n">'Calcul rentabilité VMC'!$E$393</definedName>
    <definedName name="Valeur_n_var1">'Calcul rentabilité VMC'!$E$396</definedName>
    <definedName name="Valeur_n_var2">'Calcul rentabilité VMC'!$F$396</definedName>
    <definedName name="Valeur_n50">'Calcul rentabilité VMC'!$R$35</definedName>
    <definedName name="Valeur_n50_RT2005">'Calcul rentabilité VMC'!$Z$439</definedName>
    <definedName name="Valeur_n50_RT2012">'Calcul rentabilité VMC'!$Z$440</definedName>
    <definedName name="Valeur_ncorr_1">'Calcul rentabilité VMC'!$O$431</definedName>
    <definedName name="Valeur_next">'Calcul rentabilité VMC'!$O$423</definedName>
    <definedName name="Valeur_next2">'Calcul rentabilité VMC'!$P$423</definedName>
    <definedName name="Valeur_nL">'Calcul rentabilité VMC'!$H$423</definedName>
    <definedName name="Valeur_nL_RT2005">'Calcul rentabilité VMC'!$J$424</definedName>
    <definedName name="Valeur_nL_RT2012">'Calcul rentabilité VMC'!$L$424</definedName>
    <definedName name="Valeur_nL2">'Calcul rentabilité VMC'!$H$424</definedName>
    <definedName name="Valeur_nWRG_1">'Calcul rentabilité VMC'!$J$114</definedName>
    <definedName name="Valeur_nWRG_2">'Calcul rentabilité VMC'!$J$237</definedName>
    <definedName name="Valeur_nwrgeff_1">'Calcul rentabilité VMC'!$E$395</definedName>
    <definedName name="Valeur_nWRGeff_2">'Calcul rentabilité VMC'!$F$395</definedName>
    <definedName name="Valeur_nWRGeffP_1">'Calcul rentabilité VMC'!$J$448</definedName>
    <definedName name="Valeur_nWRGeffP_2">'Calcul rentabilité VMC'!$J$449</definedName>
    <definedName name="Valeur_prixm²_conduit1">Lexique!$F$167</definedName>
    <definedName name="Valeur_prixm²_conduit2">Lexique!$F$168</definedName>
    <definedName name="Valeur_prixm²_conduit3">Lexique!$F$169</definedName>
    <definedName name="Valeur_prixm²_conduit4">Lexique!$F$170</definedName>
    <definedName name="Valeur_qconduits">'Calcul rentabilité VMC'!$L$86</definedName>
    <definedName name="Valeur_RCgl_1">'Calcul rentabilité VMC'!$O$435</definedName>
    <definedName name="Valeur_RSI1">'Calcul rentabilité VMC'!$O$416</definedName>
    <definedName name="Valeur_RSI2">'Calcul rentabilité VMC'!$P$416</definedName>
    <definedName name="Valeur_Tconsigne">'Calcul rentabilité VMC'!$O$443</definedName>
    <definedName name="Valeur_Text">'Calcul rentabilité VMC'!$C$448</definedName>
    <definedName name="Valeur_TsortiePcan">'Calcul rentabilité VMC'!$M$70</definedName>
    <definedName name="Valeur_Vn50">'Calcul rentabilité VMC'!$E$392</definedName>
    <definedName name="vmc">'Base données'!$F$85:$F$92</definedName>
    <definedName name="Volume">'Calcul rentabilité VMC'!$H$22</definedName>
    <definedName name="Zone_caissonisolé">'Calcul rentabilité VMC'!$S$79:$X$80</definedName>
    <definedName name="_xlnm.Print_Area" localSheetId="1">'Calcul rentabilité VMC'!$B$1:$Q$310</definedName>
    <definedName name="Zone_meteo">'Base données'!$A$86:$B$138</definedName>
    <definedName name="Zone_nbpieces">Lexique!$D$90:$K$96</definedName>
    <definedName name="Zone_niveaun50">'Base données'!$S$85:$T$89</definedName>
    <definedName name="Zone_rolepc">'Base données'!$V$85:$Y$89</definedName>
    <definedName name="Zone_vmc_type">'Base données'!$F$85:$I$102</definedName>
  </definedNames>
  <calcPr calcId="152511"/>
</workbook>
</file>

<file path=xl/calcChain.xml><?xml version="1.0" encoding="utf-8"?>
<calcChain xmlns="http://schemas.openxmlformats.org/spreadsheetml/2006/main">
  <c r="E492" i="1" l="1"/>
  <c r="E493" i="1"/>
  <c r="E494" i="1"/>
  <c r="E491" i="1"/>
  <c r="G490" i="1"/>
  <c r="E490" i="1" s="1"/>
  <c r="G489" i="1"/>
  <c r="H22" i="1" l="1"/>
  <c r="C134" i="1"/>
  <c r="E134" i="1"/>
  <c r="F134" i="1"/>
  <c r="H134" i="1"/>
  <c r="J134" i="1"/>
  <c r="L134" i="1"/>
  <c r="M134" i="1"/>
  <c r="O134" i="1"/>
  <c r="P134" i="1"/>
  <c r="E485" i="1" l="1"/>
  <c r="M485" i="1" s="1"/>
  <c r="J110" i="1"/>
  <c r="G8" i="6" l="1"/>
  <c r="H453" i="1" l="1"/>
  <c r="H451" i="1" s="1"/>
  <c r="F475" i="1" s="1"/>
  <c r="M29" i="6"/>
  <c r="AQ17" i="1"/>
  <c r="AR17" i="1"/>
  <c r="AS17" i="1"/>
  <c r="AT17" i="1"/>
  <c r="AQ18" i="1"/>
  <c r="AR18" i="1"/>
  <c r="AS18" i="1"/>
  <c r="AT18" i="1"/>
  <c r="AQ19" i="1"/>
  <c r="AR19" i="1"/>
  <c r="AS19" i="1"/>
  <c r="AT19" i="1"/>
  <c r="AQ20" i="1"/>
  <c r="AR20" i="1"/>
  <c r="AS20" i="1"/>
  <c r="AT20" i="1"/>
  <c r="AQ21" i="1"/>
  <c r="AR21" i="1"/>
  <c r="AS21" i="1"/>
  <c r="AT21" i="1"/>
  <c r="AQ22" i="1"/>
  <c r="AR22" i="1"/>
  <c r="AS22" i="1"/>
  <c r="AT22" i="1"/>
  <c r="AQ23" i="1"/>
  <c r="AR23" i="1"/>
  <c r="AS23" i="1"/>
  <c r="AT23" i="1"/>
  <c r="AQ24" i="1"/>
  <c r="AR24" i="1"/>
  <c r="AS24" i="1"/>
  <c r="AT24" i="1"/>
  <c r="AR16" i="1"/>
  <c r="AS16" i="1"/>
  <c r="AT16" i="1"/>
  <c r="AQ16" i="1"/>
  <c r="E416" i="1"/>
  <c r="E406" i="1" s="1"/>
  <c r="P485" i="1"/>
  <c r="G499" i="1"/>
  <c r="Y515" i="1"/>
  <c r="V514" i="1"/>
  <c r="W514" i="1"/>
  <c r="R500" i="1"/>
  <c r="E500" i="1" s="1"/>
  <c r="R499" i="1"/>
  <c r="E499" i="1" s="1"/>
  <c r="R498" i="1"/>
  <c r="E498" i="1" s="1"/>
  <c r="R496" i="1"/>
  <c r="R497" i="1"/>
  <c r="E497" i="1" s="1"/>
  <c r="D498" i="1"/>
  <c r="D499" i="1"/>
  <c r="D500" i="1"/>
  <c r="D497" i="1"/>
  <c r="C410" i="1"/>
  <c r="C409" i="1"/>
  <c r="D410" i="1"/>
  <c r="D409" i="1"/>
  <c r="Z440" i="1"/>
  <c r="Z439" i="1"/>
  <c r="P565" i="1"/>
  <c r="P564" i="1"/>
  <c r="P563" i="1"/>
  <c r="M566" i="1"/>
  <c r="M565" i="1"/>
  <c r="M564" i="1"/>
  <c r="L566" i="1"/>
  <c r="L565" i="1"/>
  <c r="L564" i="1"/>
  <c r="K566" i="1"/>
  <c r="K565" i="1"/>
  <c r="K564" i="1"/>
  <c r="J566" i="1"/>
  <c r="J565" i="1"/>
  <c r="J564" i="1"/>
  <c r="G530" i="1"/>
  <c r="I566" i="1"/>
  <c r="I565" i="1"/>
  <c r="I564" i="1"/>
  <c r="G566" i="1"/>
  <c r="G565" i="1"/>
  <c r="G564" i="1"/>
  <c r="G525" i="1"/>
  <c r="I559" i="1"/>
  <c r="I558" i="1"/>
  <c r="I557" i="1"/>
  <c r="H559" i="1"/>
  <c r="H558" i="1"/>
  <c r="H557" i="1"/>
  <c r="G559" i="1"/>
  <c r="G558" i="1"/>
  <c r="G557" i="1"/>
  <c r="H551" i="1"/>
  <c r="H552" i="1"/>
  <c r="L523" i="1"/>
  <c r="H550" i="1"/>
  <c r="F49" i="4"/>
  <c r="G6" i="6"/>
  <c r="M18" i="6"/>
  <c r="M19" i="6"/>
  <c r="M20" i="6"/>
  <c r="K85" i="6"/>
  <c r="N89" i="6"/>
  <c r="N90" i="6"/>
  <c r="N91" i="6"/>
  <c r="E102" i="6"/>
  <c r="G104" i="6"/>
  <c r="H233" i="1" s="1"/>
  <c r="K104" i="6"/>
  <c r="L399" i="1" s="1"/>
  <c r="G105" i="6"/>
  <c r="L233" i="1" s="1"/>
  <c r="E392" i="1"/>
  <c r="P37" i="1"/>
  <c r="R35" i="1" s="1"/>
  <c r="S37" i="1"/>
  <c r="S41" i="1"/>
  <c r="G244" i="1" s="1"/>
  <c r="S42" i="1"/>
  <c r="S43" i="1"/>
  <c r="S44" i="1"/>
  <c r="H52" i="1"/>
  <c r="M110" i="1" s="1"/>
  <c r="S65" i="1"/>
  <c r="I54" i="1" s="1"/>
  <c r="S68" i="1"/>
  <c r="S69" i="1"/>
  <c r="O70" i="1"/>
  <c r="P76" i="1"/>
  <c r="Q76" i="1" s="1"/>
  <c r="M70" i="1" s="1"/>
  <c r="M79" i="1"/>
  <c r="N79" i="1"/>
  <c r="O79" i="1"/>
  <c r="P79" i="1"/>
  <c r="J81" i="1" s="1"/>
  <c r="M98" i="1"/>
  <c r="J112" i="1"/>
  <c r="H399" i="1" s="1"/>
  <c r="J113" i="1"/>
  <c r="L145" i="1" s="1"/>
  <c r="J114" i="1"/>
  <c r="E394" i="1" s="1"/>
  <c r="J116" i="1"/>
  <c r="F239" i="1" s="1"/>
  <c r="J117" i="1"/>
  <c r="F240" i="1" s="1"/>
  <c r="J119" i="1"/>
  <c r="F242" i="1" s="1"/>
  <c r="J120" i="1"/>
  <c r="F243" i="1" s="1"/>
  <c r="J121" i="1"/>
  <c r="F244" i="1" s="1"/>
  <c r="J122" i="1"/>
  <c r="H219" i="1"/>
  <c r="S225" i="1"/>
  <c r="S226" i="1"/>
  <c r="K243" i="1" s="1"/>
  <c r="S230" i="1"/>
  <c r="F233" i="1"/>
  <c r="J233" i="1"/>
  <c r="S250" i="1"/>
  <c r="P253" i="1"/>
  <c r="S253" i="1"/>
  <c r="S254" i="1"/>
  <c r="I221" i="1" s="1"/>
  <c r="S255" i="1"/>
  <c r="C256" i="1"/>
  <c r="E256" i="1"/>
  <c r="F256" i="1"/>
  <c r="H256" i="1"/>
  <c r="J256" i="1"/>
  <c r="L256" i="1"/>
  <c r="M256" i="1"/>
  <c r="O256" i="1"/>
  <c r="P256" i="1"/>
  <c r="S256" i="1"/>
  <c r="I222" i="1" s="1"/>
  <c r="E257" i="1"/>
  <c r="J236" i="1" s="1"/>
  <c r="H257" i="1"/>
  <c r="J239" i="1" s="1"/>
  <c r="J257" i="1"/>
  <c r="J240" i="1" s="1"/>
  <c r="L257" i="1"/>
  <c r="J242" i="1" s="1"/>
  <c r="M257" i="1"/>
  <c r="J243" i="1" s="1"/>
  <c r="O257" i="1"/>
  <c r="J244" i="1" s="1"/>
  <c r="P257" i="1"/>
  <c r="J245" i="1" s="1"/>
  <c r="F412" i="1" s="1"/>
  <c r="G260" i="1"/>
  <c r="L386" i="1"/>
  <c r="E397" i="1"/>
  <c r="F397" i="1"/>
  <c r="L403" i="1"/>
  <c r="U404" i="1"/>
  <c r="U405" i="1"/>
  <c r="U406" i="1"/>
  <c r="L407" i="1"/>
  <c r="U407" i="1"/>
  <c r="U408" i="1"/>
  <c r="E414" i="1"/>
  <c r="F414" i="1"/>
  <c r="E417" i="1"/>
  <c r="F417" i="1"/>
  <c r="L423" i="1"/>
  <c r="J427" i="1"/>
  <c r="S430" i="1"/>
  <c r="S431" i="1"/>
  <c r="S432" i="1" s="1"/>
  <c r="S433" i="1"/>
  <c r="K441" i="1"/>
  <c r="J442" i="1"/>
  <c r="T450" i="1"/>
  <c r="P451" i="1"/>
  <c r="C462" i="1"/>
  <c r="F463" i="1"/>
  <c r="L469" i="1"/>
  <c r="H475" i="1"/>
  <c r="G486" i="1"/>
  <c r="M509" i="1" s="1"/>
  <c r="G497" i="1"/>
  <c r="G498" i="1"/>
  <c r="G500" i="1"/>
  <c r="Y514" i="1"/>
  <c r="C257" i="1"/>
  <c r="J235" i="1" s="1"/>
  <c r="K559" i="1"/>
  <c r="F257" i="1"/>
  <c r="J237" i="1" s="1"/>
  <c r="O219" i="1" s="1"/>
  <c r="M486" i="1" l="1"/>
  <c r="P486" i="1" s="1"/>
  <c r="E489" i="1"/>
  <c r="W499" i="1"/>
  <c r="P497" i="1"/>
  <c r="L390" i="1"/>
  <c r="L427" i="1" s="1"/>
  <c r="O28" i="1"/>
  <c r="M568" i="1"/>
  <c r="Q565" i="1" s="1"/>
  <c r="H545" i="1" s="1"/>
  <c r="L545" i="1" s="1"/>
  <c r="H541" i="1"/>
  <c r="L541" i="1" s="1"/>
  <c r="H539" i="1"/>
  <c r="L539" i="1" s="1"/>
  <c r="K558" i="1"/>
  <c r="G537" i="1"/>
  <c r="J537" i="1" s="1"/>
  <c r="H537" i="1"/>
  <c r="L537" i="1" s="1"/>
  <c r="K568" i="1"/>
  <c r="Q563" i="1" s="1"/>
  <c r="H543" i="1" s="1"/>
  <c r="L543" i="1" s="1"/>
  <c r="H540" i="1"/>
  <c r="L540" i="1" s="1"/>
  <c r="H538" i="1"/>
  <c r="L538" i="1" s="1"/>
  <c r="K557" i="1"/>
  <c r="L528" i="1" s="1"/>
  <c r="L568" i="1"/>
  <c r="Q564" i="1" s="1"/>
  <c r="H544" i="1" s="1"/>
  <c r="L544" i="1" s="1"/>
  <c r="G541" i="1"/>
  <c r="J541" i="1" s="1"/>
  <c r="G540" i="1"/>
  <c r="J540" i="1" s="1"/>
  <c r="G539" i="1"/>
  <c r="J539" i="1" s="1"/>
  <c r="G538" i="1"/>
  <c r="J538" i="1" s="1"/>
  <c r="L530" i="1"/>
  <c r="J451" i="1"/>
  <c r="C390" i="1"/>
  <c r="M497" i="1"/>
  <c r="J82" i="1"/>
  <c r="M499" i="1"/>
  <c r="L525" i="1"/>
  <c r="M498" i="1"/>
  <c r="M500" i="1"/>
  <c r="X86" i="6"/>
  <c r="P75" i="1" s="1"/>
  <c r="Q75" i="1" s="1"/>
  <c r="P460" i="1" s="1"/>
  <c r="X440" i="1"/>
  <c r="X439" i="1"/>
  <c r="L532" i="1"/>
  <c r="X87" i="6"/>
  <c r="F427" i="1"/>
  <c r="H462" i="1"/>
  <c r="E423" i="1"/>
  <c r="F394" i="1"/>
  <c r="O52" i="1"/>
  <c r="F237" i="1"/>
  <c r="K244" i="1"/>
  <c r="G243" i="1"/>
  <c r="I52" i="1"/>
  <c r="I55" i="1"/>
  <c r="I219" i="1"/>
  <c r="I53" i="1"/>
  <c r="I86" i="6"/>
  <c r="I85" i="6"/>
  <c r="F236" i="1"/>
  <c r="F219" i="1"/>
  <c r="I220" i="1"/>
  <c r="E412" i="1"/>
  <c r="F245" i="1"/>
  <c r="H85" i="6"/>
  <c r="H86" i="6"/>
  <c r="E52" i="1"/>
  <c r="F235" i="1"/>
  <c r="B211" i="1"/>
  <c r="O39" i="1"/>
  <c r="P492" i="1" l="1"/>
  <c r="P499" i="1"/>
  <c r="T502" i="1" s="1"/>
  <c r="P506" i="1" s="1"/>
  <c r="H546" i="1"/>
  <c r="L546" i="1" s="1"/>
  <c r="O543" i="1" s="1"/>
  <c r="O537" i="1"/>
  <c r="P498" i="1"/>
  <c r="T501" i="1" s="1"/>
  <c r="P505" i="1" s="1"/>
  <c r="O460" i="1"/>
  <c r="F395" i="1"/>
  <c r="F418" i="1"/>
  <c r="E418" i="1"/>
  <c r="E395" i="1"/>
  <c r="P509" i="1" l="1"/>
  <c r="H25" i="1" s="1"/>
  <c r="H24" i="1"/>
  <c r="W500" i="1"/>
  <c r="W501" i="1" s="1"/>
  <c r="E409" i="1"/>
  <c r="E413" i="1" s="1"/>
  <c r="O423" i="1"/>
  <c r="H423" i="1" s="1"/>
  <c r="E410" i="1"/>
  <c r="F449" i="1"/>
  <c r="P447" i="1"/>
  <c r="P449" i="1" s="1"/>
  <c r="H390" i="1"/>
  <c r="S434" i="1" s="1"/>
  <c r="O447" i="1"/>
  <c r="F448" i="1"/>
  <c r="O449" i="1"/>
  <c r="F410" i="1"/>
  <c r="F413" i="1" s="1"/>
  <c r="F415" i="1" s="1"/>
  <c r="P423" i="1"/>
  <c r="H424" i="1" s="1"/>
  <c r="E393" i="1" l="1"/>
  <c r="P427" i="1"/>
  <c r="X432" i="1" s="1"/>
  <c r="J448" i="1"/>
  <c r="F251" i="1"/>
  <c r="L141" i="1"/>
  <c r="H427" i="1"/>
  <c r="O427" i="1"/>
  <c r="J251" i="1"/>
  <c r="J449" i="1"/>
  <c r="O451" i="1"/>
  <c r="L152" i="1"/>
  <c r="E415" i="1"/>
  <c r="E444" i="1" l="1"/>
  <c r="J444" i="1" s="1"/>
  <c r="F402" i="1" s="1"/>
  <c r="T407" i="1" s="1"/>
  <c r="E396" i="1"/>
  <c r="O452" i="1" s="1"/>
  <c r="O453" i="1" s="1"/>
  <c r="S440" i="1"/>
  <c r="S439" i="1"/>
  <c r="E443" i="1"/>
  <c r="J443" i="1" s="1"/>
  <c r="F393" i="1"/>
  <c r="L424" i="1" s="1"/>
  <c r="V440" i="1" s="1"/>
  <c r="S445" i="1"/>
  <c r="F396" i="1"/>
  <c r="J147" i="1"/>
  <c r="I147" i="1"/>
  <c r="T432" i="1"/>
  <c r="E399" i="1" l="1"/>
  <c r="S399" i="1"/>
  <c r="S404" i="1" s="1"/>
  <c r="S402" i="1"/>
  <c r="S407" i="1" s="1"/>
  <c r="E402" i="1"/>
  <c r="H472" i="1"/>
  <c r="T440" i="1"/>
  <c r="T449" i="1" s="1"/>
  <c r="P392" i="1"/>
  <c r="P390" i="1"/>
  <c r="P431" i="1"/>
  <c r="P435" i="1" s="1"/>
  <c r="O390" i="1"/>
  <c r="O392" i="1"/>
  <c r="J424" i="1"/>
  <c r="V439" i="1" s="1"/>
  <c r="T439" i="1" s="1"/>
  <c r="T448" i="1" s="1"/>
  <c r="F390" i="1"/>
  <c r="O431" i="1"/>
  <c r="O435" i="1" s="1"/>
  <c r="S435" i="1" s="1"/>
  <c r="L144" i="1" s="1"/>
  <c r="P452" i="1"/>
  <c r="P453" i="1" s="1"/>
  <c r="T404" i="1" l="1"/>
  <c r="F399" i="1"/>
  <c r="L142" i="1"/>
  <c r="J399" i="1"/>
  <c r="T434" i="1"/>
  <c r="C475" i="1"/>
  <c r="H476" i="1" s="1"/>
  <c r="O407" i="1"/>
  <c r="P407" i="1"/>
  <c r="X434" i="1"/>
  <c r="T433" i="1"/>
  <c r="O395" i="1"/>
  <c r="T437" i="1" s="1"/>
  <c r="T445" i="1" s="1"/>
  <c r="O394" i="1"/>
  <c r="L154" i="1" s="1"/>
  <c r="X433" i="1"/>
  <c r="X435" i="1" s="1"/>
  <c r="P394" i="1"/>
  <c r="P395" i="1"/>
  <c r="T446" i="1" s="1"/>
  <c r="P462" i="1"/>
  <c r="P464" i="1" s="1"/>
  <c r="O462" i="1"/>
  <c r="O464" i="1" s="1"/>
  <c r="O467" i="1" s="1"/>
  <c r="T435" i="1" l="1"/>
  <c r="V433" i="1" s="1"/>
  <c r="T405" i="1"/>
  <c r="F400" i="1"/>
  <c r="F218" i="1"/>
  <c r="J462" i="1"/>
  <c r="J463" i="1" s="1"/>
  <c r="O469" i="1" s="1"/>
  <c r="E404" i="1"/>
  <c r="O399" i="1"/>
  <c r="E16" i="6"/>
  <c r="L218" i="1"/>
  <c r="P399" i="1"/>
  <c r="M218" i="1"/>
  <c r="G16" i="6"/>
  <c r="G15" i="6"/>
  <c r="B226" i="1"/>
  <c r="J51" i="1"/>
  <c r="E51" i="1"/>
  <c r="G19" i="6"/>
  <c r="K56" i="1"/>
  <c r="K51" i="1"/>
  <c r="S400" i="1"/>
  <c r="S405" i="1" s="1"/>
  <c r="E400" i="1"/>
  <c r="L155" i="1"/>
  <c r="J413" i="1"/>
  <c r="F472" i="1" l="1"/>
  <c r="V434" i="1"/>
  <c r="V432" i="1"/>
  <c r="P418" i="1"/>
  <c r="J247" i="1" s="1"/>
  <c r="P403" i="1"/>
  <c r="O403" i="1"/>
  <c r="C472" i="1"/>
  <c r="H473" i="1" s="1"/>
  <c r="O475" i="1" s="1"/>
  <c r="O418" i="1"/>
  <c r="F247" i="1" s="1"/>
  <c r="O472" i="1"/>
  <c r="J249" i="1" l="1"/>
  <c r="F401" i="1"/>
  <c r="T406" i="1" s="1"/>
  <c r="F405" i="1"/>
  <c r="P413" i="1" s="1"/>
  <c r="E405" i="1"/>
  <c r="O413" i="1" s="1"/>
  <c r="L413" i="1"/>
  <c r="L156" i="1"/>
  <c r="E401" i="1"/>
  <c r="S406" i="1" s="1"/>
  <c r="S401" i="1"/>
  <c r="F249" i="1"/>
  <c r="F248" i="1" l="1"/>
  <c r="O416" i="1"/>
  <c r="F250" i="1" s="1"/>
  <c r="L157" i="1"/>
  <c r="J248" i="1"/>
  <c r="P416" i="1"/>
  <c r="J250" i="1" s="1"/>
  <c r="J494" i="1"/>
  <c r="J493" i="1"/>
</calcChain>
</file>

<file path=xl/comments1.xml><?xml version="1.0" encoding="utf-8"?>
<comments xmlns="http://schemas.openxmlformats.org/spreadsheetml/2006/main">
  <authors>
    <author>frederic</author>
    <author>Fiabitat</author>
    <author>Frederic</author>
    <author>Admin</author>
  </authors>
  <commentList>
    <comment ref="M27" authorId="0" shapeId="0">
      <text>
        <r>
          <rPr>
            <b/>
            <sz val="9"/>
            <color indexed="81"/>
            <rFont val="Tahoma"/>
            <family val="2"/>
          </rPr>
          <t>frederic:</t>
        </r>
        <r>
          <rPr>
            <sz val="9"/>
            <color indexed="81"/>
            <rFont val="Tahoma"/>
            <family val="2"/>
          </rPr>
          <t xml:space="preserve">
Les DJU (degré jour unifiés) sont des données météorologiques caractérisant la sévérité climatique (plus le chiffre est élevé et plus le climat est froid)</t>
        </r>
      </text>
    </comment>
    <comment ref="H33" authorId="1" shapeId="0">
      <text>
        <r>
          <rPr>
            <b/>
            <sz val="9"/>
            <color indexed="81"/>
            <rFont val="Tahoma"/>
            <family val="2"/>
          </rPr>
          <t>Fiabitat:</t>
        </r>
        <r>
          <rPr>
            <sz val="9"/>
            <color indexed="81"/>
            <rFont val="Tahoma"/>
            <family val="2"/>
          </rPr>
          <t xml:space="preserve">
Cette case est à  remplir dans le cas ou on veut évaluer la pertinence d'un puits canadien, cela permet de prendre en compte de la surconsommation électrique due à son ventilateur.</t>
        </r>
      </text>
    </comment>
    <comment ref="M38" authorId="1" shapeId="0">
      <text>
        <r>
          <rPr>
            <b/>
            <sz val="9"/>
            <color indexed="81"/>
            <rFont val="Tahoma"/>
            <family val="2"/>
          </rPr>
          <t>Fiabitat:</t>
        </r>
        <r>
          <rPr>
            <sz val="9"/>
            <color indexed="81"/>
            <rFont val="Tahoma"/>
            <family val="2"/>
          </rPr>
          <t xml:space="preserve">
Si vous ne connaissez pas la valeur n50 mais la valeur q4 (RT2012), indiquer la valeur q4 * 3,75</t>
        </r>
      </text>
    </comment>
    <comment ref="H50" authorId="0" shapeId="0">
      <text>
        <r>
          <rPr>
            <b/>
            <sz val="9"/>
            <color indexed="81"/>
            <rFont val="Tahoma"/>
            <family val="2"/>
          </rPr>
          <t>frederic:</t>
        </r>
        <r>
          <rPr>
            <sz val="9"/>
            <color indexed="81"/>
            <rFont val="Tahoma"/>
            <family val="2"/>
          </rPr>
          <t xml:space="preserve">
Choisir le modèle de VMC double flux OU
Si vous souhaitez comparer avec une VMC simple flux hygro, sélectionnez "VMC SF" dans cette liste de choix.</t>
        </r>
      </text>
    </comment>
    <comment ref="H64" authorId="1" shapeId="0">
      <text>
        <r>
          <rPr>
            <b/>
            <sz val="9"/>
            <color indexed="81"/>
            <rFont val="Tahoma"/>
            <family val="2"/>
          </rPr>
          <t>Fiabitat:</t>
        </r>
        <r>
          <rPr>
            <sz val="9"/>
            <color indexed="81"/>
            <rFont val="Tahoma"/>
            <family val="2"/>
          </rPr>
          <t xml:space="preserve">
Si le puits canadien est prévu pour tourner en été, sélectionner "NON"
Couper la VMC implique de ventiler le bâtiment par d'autres moyens</t>
        </r>
      </text>
    </comment>
    <comment ref="M75" authorId="1" shapeId="0">
      <text>
        <r>
          <rPr>
            <b/>
            <sz val="9"/>
            <color indexed="81"/>
            <rFont val="Tahoma"/>
            <family val="2"/>
          </rPr>
          <t>Fiabitat:</t>
        </r>
        <r>
          <rPr>
            <sz val="9"/>
            <color indexed="81"/>
            <rFont val="Tahoma"/>
            <family val="2"/>
          </rPr>
          <t xml:space="preserve">
GAEA : logiciel de calcul des puits canadien téléchargeable en version d'évaluation</t>
        </r>
      </text>
    </comment>
    <comment ref="M76" authorId="1" shapeId="0">
      <text>
        <r>
          <rPr>
            <b/>
            <sz val="9"/>
            <color indexed="81"/>
            <rFont val="Tahoma"/>
            <family val="2"/>
          </rPr>
          <t>Fiabitat:</t>
        </r>
        <r>
          <rPr>
            <sz val="9"/>
            <color indexed="81"/>
            <rFont val="Tahoma"/>
            <family val="2"/>
          </rPr>
          <t xml:space="preserve">
Dépend de la longueur du puits canadien
En moyenne :
si puits canadien dimensionné pour l'été : 8
si puits canadien dimensionné pour l'hiver : 3</t>
        </r>
      </text>
    </comment>
    <comment ref="I141" authorId="2" shapeId="0">
      <text>
        <r>
          <rPr>
            <b/>
            <sz val="9"/>
            <color indexed="81"/>
            <rFont val="Tahoma"/>
            <family val="2"/>
          </rPr>
          <t>Frederic:</t>
        </r>
        <r>
          <rPr>
            <sz val="9"/>
            <color indexed="81"/>
            <rFont val="Tahoma"/>
            <family val="2"/>
          </rPr>
          <t xml:space="preserve">
Sans prise en compte des batteries de préchauffage</t>
        </r>
      </text>
    </comment>
    <comment ref="I142" authorId="2" shapeId="0">
      <text>
        <r>
          <rPr>
            <b/>
            <sz val="9"/>
            <color indexed="81"/>
            <rFont val="Tahoma"/>
            <family val="2"/>
          </rPr>
          <t>Frederic:</t>
        </r>
        <r>
          <rPr>
            <sz val="9"/>
            <color indexed="81"/>
            <rFont val="Tahoma"/>
            <family val="2"/>
          </rPr>
          <t xml:space="preserve">
Dépend du taux de renouvellement d'air. Un taux inférieur à 0,30 vol/h sera considéré comme insuffisant</t>
        </r>
      </text>
    </comment>
    <comment ref="I144" authorId="2" shapeId="0">
      <text>
        <r>
          <rPr>
            <b/>
            <sz val="9"/>
            <color indexed="81"/>
            <rFont val="Tahoma"/>
            <family val="2"/>
          </rPr>
          <t>Frederic:</t>
        </r>
        <r>
          <rPr>
            <sz val="9"/>
            <color indexed="81"/>
            <rFont val="Tahoma"/>
            <family val="2"/>
          </rPr>
          <t xml:space="preserve">
rendement caisson + réseau + fuites d'étanchéité</t>
        </r>
      </text>
    </comment>
    <comment ref="I145" authorId="2" shapeId="0">
      <text>
        <r>
          <rPr>
            <b/>
            <sz val="9"/>
            <color indexed="81"/>
            <rFont val="Tahoma"/>
            <family val="2"/>
          </rPr>
          <t>Frederic:</t>
        </r>
        <r>
          <rPr>
            <sz val="9"/>
            <color indexed="81"/>
            <rFont val="Tahoma"/>
            <family val="2"/>
          </rPr>
          <t xml:space="preserve">
Rendement indiqué sur les certificats, calculé selon la NF EN 13141-7</t>
        </r>
      </text>
    </comment>
    <comment ref="L153" authorId="2" shapeId="0">
      <text>
        <r>
          <rPr>
            <b/>
            <sz val="9"/>
            <color indexed="81"/>
            <rFont val="Tahoma"/>
            <family val="2"/>
          </rPr>
          <t>Frederic:</t>
        </r>
        <r>
          <rPr>
            <sz val="9"/>
            <color indexed="81"/>
            <rFont val="Tahoma"/>
            <family val="2"/>
          </rPr>
          <t xml:space="preserve">
Option : pour considérer le fait que dans certains cas, la présence d'une VMC double flux évite d'investir dans un chauffage de complément ou dans un équipement de puissance supérieure</t>
        </r>
      </text>
    </comment>
    <comment ref="E393" authorId="2" shapeId="0">
      <text>
        <r>
          <rPr>
            <b/>
            <sz val="9"/>
            <color indexed="81"/>
            <rFont val="Tahoma"/>
            <family val="2"/>
          </rPr>
          <t>Frederic:</t>
        </r>
        <r>
          <rPr>
            <sz val="9"/>
            <color indexed="81"/>
            <rFont val="Tahoma"/>
            <family val="2"/>
          </rPr>
          <t xml:space="preserve">
taux de renouvellement d'air sans bouches hygro</t>
        </r>
      </text>
    </comment>
    <comment ref="F393" authorId="2" shapeId="0">
      <text>
        <r>
          <rPr>
            <b/>
            <sz val="9"/>
            <color indexed="81"/>
            <rFont val="Tahoma"/>
            <family val="2"/>
          </rPr>
          <t>Frederic:</t>
        </r>
        <r>
          <rPr>
            <sz val="9"/>
            <color indexed="81"/>
            <rFont val="Tahoma"/>
            <family val="2"/>
          </rPr>
          <t xml:space="preserve">
Taux de renouvellement d'air avec bouches hygro</t>
        </r>
      </text>
    </comment>
    <comment ref="O534" authorId="3" shapeId="0">
      <text>
        <r>
          <rPr>
            <b/>
            <sz val="9"/>
            <color indexed="81"/>
            <rFont val="Tahoma"/>
            <family val="2"/>
          </rPr>
          <t xml:space="preserve">Admin:
</t>
        </r>
        <r>
          <rPr>
            <sz val="9"/>
            <color indexed="81"/>
            <rFont val="Tahoma"/>
            <family val="2"/>
          </rPr>
          <t>Si bouches autoréglées : 0,80
Régulation par horloge : 0,65
Régulation par bouches hygro : 0,5</t>
        </r>
      </text>
    </comment>
  </commentList>
</comments>
</file>

<file path=xl/comments2.xml><?xml version="1.0" encoding="utf-8"?>
<comments xmlns="http://schemas.openxmlformats.org/spreadsheetml/2006/main">
  <authors>
    <author>Frederic</author>
  </authors>
  <commentList>
    <comment ref="M19" authorId="0" shapeId="0">
      <text>
        <r>
          <rPr>
            <b/>
            <sz val="9"/>
            <color indexed="81"/>
            <rFont val="Tahoma"/>
            <family val="2"/>
          </rPr>
          <t>Frederic:</t>
        </r>
        <r>
          <rPr>
            <sz val="9"/>
            <color indexed="81"/>
            <rFont val="Tahoma"/>
            <family val="2"/>
          </rPr>
          <t xml:space="preserve">
prix public départ usine
+ batterie de dégivrage</t>
        </r>
      </text>
    </comment>
    <comment ref="M20" authorId="0" shapeId="0">
      <text>
        <r>
          <rPr>
            <b/>
            <sz val="9"/>
            <color indexed="81"/>
            <rFont val="Tahoma"/>
            <family val="2"/>
          </rPr>
          <t>Frederic:</t>
        </r>
        <r>
          <rPr>
            <sz val="9"/>
            <color indexed="81"/>
            <rFont val="Tahoma"/>
            <family val="2"/>
          </rPr>
          <t xml:space="preserve">
prix public départ usine
+ batterie de dégivrage</t>
        </r>
      </text>
    </comment>
  </commentList>
</comments>
</file>

<file path=xl/comments3.xml><?xml version="1.0" encoding="utf-8"?>
<comments xmlns="http://schemas.openxmlformats.org/spreadsheetml/2006/main">
  <authors>
    <author>FrédéricL</author>
    <author>Fiabitat</author>
  </authors>
  <commentList>
    <comment ref="F174" authorId="0" shapeId="0">
      <text>
        <r>
          <rPr>
            <b/>
            <sz val="9"/>
            <color indexed="81"/>
            <rFont val="Tahoma"/>
            <family val="2"/>
          </rPr>
          <t>FrédéricL:</t>
        </r>
        <r>
          <rPr>
            <sz val="9"/>
            <color indexed="81"/>
            <rFont val="Tahoma"/>
            <family val="2"/>
          </rPr>
          <t xml:space="preserve">
Uniquement dans le cas d'une vmc double flux</t>
        </r>
      </text>
    </comment>
    <comment ref="F175" authorId="1" shapeId="0">
      <text>
        <r>
          <rPr>
            <b/>
            <sz val="9"/>
            <color indexed="81"/>
            <rFont val="Tahoma"/>
            <family val="2"/>
          </rPr>
          <t>Fiabitat:</t>
        </r>
        <r>
          <rPr>
            <sz val="9"/>
            <color indexed="81"/>
            <rFont val="Tahoma"/>
            <family val="2"/>
          </rPr>
          <t xml:space="preserve">
Entre 0°C et -3°C généralement</t>
        </r>
      </text>
    </comment>
  </commentList>
</comments>
</file>

<file path=xl/sharedStrings.xml><?xml version="1.0" encoding="utf-8"?>
<sst xmlns="http://schemas.openxmlformats.org/spreadsheetml/2006/main" count="1035" uniqueCount="663">
  <si>
    <t>Volume</t>
  </si>
  <si>
    <t>Taux de</t>
  </si>
  <si>
    <t>RC</t>
  </si>
  <si>
    <t>Cp</t>
  </si>
  <si>
    <t>DJU</t>
  </si>
  <si>
    <t>Déperdition</t>
  </si>
  <si>
    <t>renouvellement d'air</t>
  </si>
  <si>
    <t>VMC DF</t>
  </si>
  <si>
    <t>air</t>
  </si>
  <si>
    <t>site</t>
  </si>
  <si>
    <t>Qvent =</t>
  </si>
  <si>
    <t>x    (</t>
  </si>
  <si>
    <t>x (1-</t>
  </si>
  <si>
    <t>) x</t>
  </si>
  <si>
    <t>=</t>
  </si>
  <si>
    <t>kWh/an</t>
  </si>
  <si>
    <t>Conso</t>
  </si>
  <si>
    <t>Temps de</t>
  </si>
  <si>
    <t>fonctionnement</t>
  </si>
  <si>
    <t>électrique</t>
  </si>
  <si>
    <t>Exemples de DJU 18</t>
  </si>
  <si>
    <t xml:space="preserve">x </t>
  </si>
  <si>
    <t>Orléans</t>
  </si>
  <si>
    <t>Auxerre</t>
  </si>
  <si>
    <t>Prix</t>
  </si>
  <si>
    <t>Caen</t>
  </si>
  <si>
    <t>électricité</t>
  </si>
  <si>
    <t>Bordeaux</t>
  </si>
  <si>
    <t>€/kWh</t>
  </si>
  <si>
    <t>€/an</t>
  </si>
  <si>
    <t>Dijon</t>
  </si>
  <si>
    <t>Reims</t>
  </si>
  <si>
    <t>gain</t>
  </si>
  <si>
    <t>Embrun</t>
  </si>
  <si>
    <t>énergie</t>
  </si>
  <si>
    <t>Limoges</t>
  </si>
  <si>
    <t>Chateauroux</t>
  </si>
  <si>
    <t>Strasbourg</t>
  </si>
  <si>
    <t>Nice</t>
  </si>
  <si>
    <t>total</t>
  </si>
  <si>
    <t>-</t>
  </si>
  <si>
    <t>RSI</t>
  </si>
  <si>
    <t>an</t>
  </si>
  <si>
    <t>nt</t>
  </si>
  <si>
    <t>m3/h</t>
  </si>
  <si>
    <t>* (0,024)</t>
  </si>
  <si>
    <t>Efficience</t>
  </si>
  <si>
    <t>Wh/m3</t>
  </si>
  <si>
    <t>Debit moyen</t>
  </si>
  <si>
    <t>Taux de renouvellement d'air</t>
  </si>
  <si>
    <t>Volume bâtiment</t>
  </si>
  <si>
    <t>m3</t>
  </si>
  <si>
    <t>Système VMC</t>
  </si>
  <si>
    <t>nWRG</t>
  </si>
  <si>
    <t>VMC double flux</t>
  </si>
  <si>
    <t>VMC simple flux autoréglée</t>
  </si>
  <si>
    <t>VMC simple flux hygroréglée</t>
  </si>
  <si>
    <t>VMC double flux hygroréglable</t>
  </si>
  <si>
    <t>Rendement RC</t>
  </si>
  <si>
    <t>VMC coupée en été ?</t>
  </si>
  <si>
    <t>oui</t>
  </si>
  <si>
    <t>non</t>
  </si>
  <si>
    <t>ventilation</t>
  </si>
  <si>
    <t>gain lié à la VMC DF (par rapport à une solution VMC SF autoréglée=</t>
  </si>
  <si>
    <t>Efficience électrique</t>
  </si>
  <si>
    <t>Nantes</t>
  </si>
  <si>
    <t>Angers</t>
  </si>
  <si>
    <t>Romorantin</t>
  </si>
  <si>
    <t>Lyon</t>
  </si>
  <si>
    <t>DJU = 18 - (Tmin+Tmax)/2</t>
  </si>
  <si>
    <t>vol/h</t>
  </si>
  <si>
    <t>Plusieurs facades exposées</t>
  </si>
  <si>
    <t>Une facade exposée</t>
  </si>
  <si>
    <t>Aucune protection</t>
  </si>
  <si>
    <t>protection moyenne</t>
  </si>
  <si>
    <t>forte protection</t>
  </si>
  <si>
    <t>Valeur e</t>
  </si>
  <si>
    <t>Valeur f</t>
  </si>
  <si>
    <t>n extraction</t>
  </si>
  <si>
    <t>nL</t>
  </si>
  <si>
    <t>Qinf =</t>
  </si>
  <si>
    <t>infiltrations</t>
  </si>
  <si>
    <t>Taux renouvellement air</t>
  </si>
  <si>
    <t>réel</t>
  </si>
  <si>
    <t>Rdt global</t>
  </si>
  <si>
    <t>fuites</t>
  </si>
  <si>
    <t>extraction seule</t>
  </si>
  <si>
    <t>m</t>
  </si>
  <si>
    <t>Surface hab</t>
  </si>
  <si>
    <t>m²</t>
  </si>
  <si>
    <t>kWh/m².an</t>
  </si>
  <si>
    <t>Impact de l'aération (fuite+ventilation) sur le bilan thermique =</t>
  </si>
  <si>
    <t>Rdt nt</t>
  </si>
  <si>
    <t>Rdt nWRG</t>
  </si>
  <si>
    <t>Rdt nWRG, eff</t>
  </si>
  <si>
    <t>Economies annuelles VMC DF</t>
  </si>
  <si>
    <t>nt (selon NF 13141-7)</t>
  </si>
  <si>
    <t>nWRG (selon certificat passif)</t>
  </si>
  <si>
    <t>COP moyen</t>
  </si>
  <si>
    <t xml:space="preserve">Conso électrique VMC </t>
  </si>
  <si>
    <t>Valeur Vn50</t>
  </si>
  <si>
    <t>Puits canadien</t>
  </si>
  <si>
    <t>Puissance</t>
  </si>
  <si>
    <t>W</t>
  </si>
  <si>
    <t>Conso annuelle</t>
  </si>
  <si>
    <t>T sortie</t>
  </si>
  <si>
    <t>T ext</t>
  </si>
  <si>
    <t>hiver</t>
  </si>
  <si>
    <t>Rdt</t>
  </si>
  <si>
    <t>Consigne T°C</t>
  </si>
  <si>
    <t>°C</t>
  </si>
  <si>
    <t>Température air soufflé</t>
  </si>
  <si>
    <t>VMC DF + puits</t>
  </si>
  <si>
    <t>Gain hiver puits</t>
  </si>
  <si>
    <t>euros/an</t>
  </si>
  <si>
    <t>Ventil+Puits</t>
  </si>
  <si>
    <t>VMC seule</t>
  </si>
  <si>
    <t>Ou gain issu du calcul GAEA</t>
  </si>
  <si>
    <t>Gain hiver puits (dégivrage)</t>
  </si>
  <si>
    <t>(T de déclenchement - voir notices VMC DF)</t>
  </si>
  <si>
    <t>En utilisant les mêmes données sur le renouvellement d'air</t>
  </si>
  <si>
    <t>Si pas de VMC double flux</t>
  </si>
  <si>
    <t>Conso électrique dégivrage</t>
  </si>
  <si>
    <t>Montpellier</t>
  </si>
  <si>
    <t>Conduits (si vmc df)</t>
  </si>
  <si>
    <t>Economies annuelles Pcan</t>
  </si>
  <si>
    <t>Période estivale</t>
  </si>
  <si>
    <t>Période hivernale</t>
  </si>
  <si>
    <t>En modifiant les données sur le renouvellement d'air</t>
  </si>
  <si>
    <t>Gain été puits</t>
  </si>
  <si>
    <t>Rvt d'air</t>
  </si>
  <si>
    <t>Période</t>
  </si>
  <si>
    <t>h/an</t>
  </si>
  <si>
    <t>Débit vol</t>
  </si>
  <si>
    <t>Surpuissance ventilo</t>
  </si>
  <si>
    <t>Cout d'investissement</t>
  </si>
  <si>
    <t>COP moyen VMC+PCAN</t>
  </si>
  <si>
    <t>Cout d'investissement PCAN+VMCDF</t>
  </si>
  <si>
    <t>RC VMC</t>
  </si>
  <si>
    <t>RC puits</t>
  </si>
  <si>
    <t>Clim puits</t>
  </si>
  <si>
    <t>Conso VMC</t>
  </si>
  <si>
    <t>Surconso puits</t>
  </si>
  <si>
    <t>Dégivrage</t>
  </si>
  <si>
    <t>Surconsommation électrique</t>
  </si>
  <si>
    <t>Gain total hiver et été</t>
  </si>
  <si>
    <t>Objectif solution passive</t>
  </si>
  <si>
    <t>Projet</t>
  </si>
  <si>
    <t>Lègère</t>
  </si>
  <si>
    <t>Aucune</t>
  </si>
  <si>
    <t>Importante</t>
  </si>
  <si>
    <t>Très importante</t>
  </si>
  <si>
    <t>Moyenne</t>
  </si>
  <si>
    <t>Projet :</t>
  </si>
  <si>
    <t>Réalisé le :</t>
  </si>
  <si>
    <t>RT</t>
  </si>
  <si>
    <t>PASSIF</t>
  </si>
  <si>
    <t>BBC MI</t>
  </si>
  <si>
    <t>Lorient</t>
  </si>
  <si>
    <t>Brest</t>
  </si>
  <si>
    <t>Paris</t>
  </si>
  <si>
    <t>Marseille</t>
  </si>
  <si>
    <t>Angouleme</t>
  </si>
  <si>
    <t>Bourges</t>
  </si>
  <si>
    <t>Toulouse</t>
  </si>
  <si>
    <t>Rennes</t>
  </si>
  <si>
    <t>Tours</t>
  </si>
  <si>
    <t>Grenoble</t>
  </si>
  <si>
    <t>Lille</t>
  </si>
  <si>
    <t>Biarritz</t>
  </si>
  <si>
    <t>Pau</t>
  </si>
  <si>
    <t>Perpignan</t>
  </si>
  <si>
    <t>Mulhouse</t>
  </si>
  <si>
    <t>ou DJU 18 perso</t>
  </si>
  <si>
    <t>Bourg st Maurice</t>
  </si>
  <si>
    <t>Tignes</t>
  </si>
  <si>
    <t>Poitiers</t>
  </si>
  <si>
    <t>Sélection parmi :</t>
  </si>
  <si>
    <t>dmini</t>
  </si>
  <si>
    <t>dmaxi</t>
  </si>
  <si>
    <t>eff elec</t>
  </si>
  <si>
    <t>Marque</t>
  </si>
  <si>
    <t>Novus 300</t>
  </si>
  <si>
    <t>Paul Lueftung</t>
  </si>
  <si>
    <t>Rayonné</t>
  </si>
  <si>
    <t>Extraction</t>
  </si>
  <si>
    <t>Pulsion</t>
  </si>
  <si>
    <t xml:space="preserve">fuites Etanchéité </t>
  </si>
  <si>
    <t>Piquages</t>
  </si>
  <si>
    <t>Certifiée NF</t>
  </si>
  <si>
    <t>Certifiée PHI</t>
  </si>
  <si>
    <t xml:space="preserve">récupération de chaleur VMC DF = </t>
  </si>
  <si>
    <t>Consommation électrique =</t>
  </si>
  <si>
    <t>gain total =</t>
  </si>
  <si>
    <t>Se substitue à une batterie dégivrage</t>
  </si>
  <si>
    <t>Objectif
 RT2005 
vmc SF auto</t>
  </si>
  <si>
    <t>Objectif 
BBC 
VMC SF hygro</t>
  </si>
  <si>
    <t>Qualité du renouvellement d'air :</t>
  </si>
  <si>
    <t>Bon</t>
  </si>
  <si>
    <t>Différence de prix de la VMC DF par rapport VMC SF =</t>
  </si>
  <si>
    <t>Rendement récupération chaleur moyen réel :</t>
  </si>
  <si>
    <t>Dee fly</t>
  </si>
  <si>
    <t>Aldes</t>
  </si>
  <si>
    <t>dbA</t>
  </si>
  <si>
    <t>%</t>
  </si>
  <si>
    <t>idem ?</t>
  </si>
  <si>
    <t xml:space="preserve">Variante </t>
  </si>
  <si>
    <t>Consommations électriques :</t>
  </si>
  <si>
    <t>Economies annuelles</t>
  </si>
  <si>
    <t>Retour sur investissement :</t>
  </si>
  <si>
    <t>Résultats détaillés ici -&gt;</t>
  </si>
  <si>
    <t>Solution 1</t>
  </si>
  <si>
    <t>Variante</t>
  </si>
  <si>
    <t>COP</t>
  </si>
  <si>
    <t>Le meilleur résultat comparé est noté en vert</t>
  </si>
  <si>
    <t>Bon (100%)</t>
  </si>
  <si>
    <t>Duolix Max</t>
  </si>
  <si>
    <t>Atlantic</t>
  </si>
  <si>
    <t>ComfoAir 350</t>
  </si>
  <si>
    <t>Zehnder</t>
  </si>
  <si>
    <t>Acoustique Insufflation dmaxi</t>
  </si>
  <si>
    <t>Acoustique extraction dmaxi</t>
  </si>
  <si>
    <t>Acoustique rayonné dmaxi</t>
  </si>
  <si>
    <t>KWL EC 270</t>
  </si>
  <si>
    <t>KWL EC 370</t>
  </si>
  <si>
    <t>Prometeo</t>
  </si>
  <si>
    <t>Vortice</t>
  </si>
  <si>
    <t>ComfoAir 200</t>
  </si>
  <si>
    <t>Unelvent</t>
  </si>
  <si>
    <t>Ideo 350</t>
  </si>
  <si>
    <t>KWL EC 220</t>
  </si>
  <si>
    <t>Helios</t>
  </si>
  <si>
    <t xml:space="preserve">Helios </t>
  </si>
  <si>
    <t>Focus 200</t>
  </si>
  <si>
    <t>HCV 5</t>
  </si>
  <si>
    <t>Dantherm</t>
  </si>
  <si>
    <t>HCV 3</t>
  </si>
  <si>
    <t>Sentinel Kinetic B</t>
  </si>
  <si>
    <t>VentAxia</t>
  </si>
  <si>
    <t>Rendement normalisé récupération chaleur "caisson" NF :</t>
  </si>
  <si>
    <t>Novus 450</t>
  </si>
  <si>
    <t>ComfoAir 550</t>
  </si>
  <si>
    <t>PV caisson TTC</t>
  </si>
  <si>
    <t>€ TTC</t>
  </si>
  <si>
    <t>hypothèse : conduits PEHD alimentaires</t>
  </si>
  <si>
    <t>€</t>
  </si>
  <si>
    <t>hypothèse : conduits souples bas de gamme</t>
  </si>
  <si>
    <t>en années</t>
  </si>
  <si>
    <t>Economies d'investissement sur d'autres lots =</t>
  </si>
  <si>
    <t>fuites Etanchéité Ext</t>
  </si>
  <si>
    <t>fuites Etanchéité int</t>
  </si>
  <si>
    <t>Valeur cible</t>
  </si>
  <si>
    <t>Nombre</t>
  </si>
  <si>
    <t>par personne:</t>
  </si>
  <si>
    <t xml:space="preserve">m³/h     x </t>
  </si>
  <si>
    <t xml:space="preserve">m³/h </t>
  </si>
  <si>
    <t>Cuisine</t>
  </si>
  <si>
    <t>Somme:</t>
  </si>
  <si>
    <t>Durée d'utilisation quotidienne :</t>
  </si>
  <si>
    <t>1/h</t>
  </si>
  <si>
    <t>Coefficient par rapport au</t>
  </si>
  <si>
    <t>Durée type</t>
  </si>
  <si>
    <t>WC si plusieurs, celliers, lingeries, etc…</t>
  </si>
  <si>
    <t>Nb de pièces principales logement</t>
  </si>
  <si>
    <t>Critères de conception des flux volumiques d'air</t>
  </si>
  <si>
    <t>Température de soufflage pour -5°C extérieur :</t>
  </si>
  <si>
    <t>en €/an</t>
  </si>
  <si>
    <t>°C si -5°C extérieur</t>
  </si>
  <si>
    <t>Nb d'habitants</t>
  </si>
  <si>
    <t>Revenir sur la selection</t>
  </si>
  <si>
    <t>Détail Ventilation</t>
  </si>
  <si>
    <t>Détail Infiltrations</t>
  </si>
  <si>
    <t>Détail Puits canadien</t>
  </si>
  <si>
    <t>Impact de l'aération (fuite+ventilation) sur le bilan thermique (compris pcan) =</t>
  </si>
  <si>
    <t>si variante --&gt;</t>
  </si>
  <si>
    <t>Ajouter un caisson de ventilation</t>
  </si>
  <si>
    <t>NC</t>
  </si>
  <si>
    <t>Renouvellement d'air nominal total :</t>
  </si>
  <si>
    <t xml:space="preserve">n WRG </t>
  </si>
  <si>
    <t>n WRG eff</t>
  </si>
  <si>
    <t>vmc double flux</t>
  </si>
  <si>
    <t>taux rvt air moyen</t>
  </si>
  <si>
    <t>Economies Pcan</t>
  </si>
  <si>
    <t>Déperditions par les conduits</t>
  </si>
  <si>
    <t>Puits canadien + vmc SF</t>
  </si>
  <si>
    <t>Vmc SF seule</t>
  </si>
  <si>
    <t>Conso si VMC SF</t>
  </si>
  <si>
    <t>Différence de conso entre VMC SF et solution</t>
  </si>
  <si>
    <t>Investissement caisson</t>
  </si>
  <si>
    <t>Investissement réseau</t>
  </si>
  <si>
    <t>Investissement puits canadien</t>
  </si>
  <si>
    <t>Investissement à déduire nécessaire si VMC SF</t>
  </si>
  <si>
    <t>pers</t>
  </si>
  <si>
    <t>u</t>
  </si>
  <si>
    <t>Détail du calcul des débits ici</t>
  </si>
  <si>
    <t>Quel niveau d'étanchéité visez vous ?</t>
  </si>
  <si>
    <t>RT2005</t>
  </si>
  <si>
    <t>Passif</t>
  </si>
  <si>
    <t>BBC / RT2012</t>
  </si>
  <si>
    <t>Entre BBC/RT2012 et passif</t>
  </si>
  <si>
    <t>Mieux que passif</t>
  </si>
  <si>
    <t xml:space="preserve">Modèle parmi la liste suivante </t>
  </si>
  <si>
    <t>Présence d'un puits canadien ?</t>
  </si>
  <si>
    <t>Si oui :</t>
  </si>
  <si>
    <t>Ou valeur n50</t>
  </si>
  <si>
    <t>Préchauffer</t>
  </si>
  <si>
    <t>Préchauffer et rafraichir</t>
  </si>
  <si>
    <t>T°C pour -5°C</t>
  </si>
  <si>
    <t>Rafraichir uniquement</t>
  </si>
  <si>
    <t>Ou mode expert, saisir :</t>
  </si>
  <si>
    <t>Gain en été, calculé avec GAEA :</t>
  </si>
  <si>
    <t>T sortie mini du puits en hiver :</t>
  </si>
  <si>
    <t xml:space="preserve">°C si Text = - 5°C </t>
  </si>
  <si>
    <t>Conduits de la VMC</t>
  </si>
  <si>
    <t>Caisson VMC situé dans l'enveloppe isolée</t>
  </si>
  <si>
    <t>Caisson VMC situé en dehors de l'enveloppe isolée</t>
  </si>
  <si>
    <t xml:space="preserve">Air neuf </t>
  </si>
  <si>
    <t>Rejet</t>
  </si>
  <si>
    <t>Air insufflé</t>
  </si>
  <si>
    <t>Air extrait</t>
  </si>
  <si>
    <t>hors enveloppe isolée</t>
  </si>
  <si>
    <t>dans l'enveloppe isolée</t>
  </si>
  <si>
    <t>Comment ses gaines sont isolées ?</t>
  </si>
  <si>
    <t>mm isolant</t>
  </si>
  <si>
    <t>Rendement moyen</t>
  </si>
  <si>
    <t>Critères de confort (sans réchauffeur)</t>
  </si>
  <si>
    <t>Insuffisant</t>
  </si>
  <si>
    <t>Absent (0%)</t>
  </si>
  <si>
    <t>Rendement selon NF 13141-7</t>
  </si>
  <si>
    <t>Rendement moyen (PHPP)</t>
  </si>
  <si>
    <t>Présence VMC SF</t>
  </si>
  <si>
    <t>correction bug débits de base par habitant</t>
  </si>
  <si>
    <t>correction bug affichage certificat variante</t>
  </si>
  <si>
    <t>Prix de vente TTC</t>
  </si>
  <si>
    <t>Détail des calculs plus bas</t>
  </si>
  <si>
    <t>AIDE</t>
  </si>
  <si>
    <t>Mode d'emploi de cette feuille de calcul Excel</t>
  </si>
  <si>
    <t>Enregistrer</t>
  </si>
  <si>
    <t>Pour enregistrer le fichier de données sous un nouveau nom:</t>
  </si>
  <si>
    <t>Menu: Fichier / enregistrer sous</t>
  </si>
  <si>
    <t>Entrer le nom désiré, par exemple Object XYZ, et taper "OK"</t>
  </si>
  <si>
    <t>à la fin de l'entrée des données, enregistrer le fichier une seconde fois</t>
  </si>
  <si>
    <t>Menu: Fichier / enregristrer</t>
  </si>
  <si>
    <t>Données de référence</t>
  </si>
  <si>
    <t>Nom du projet</t>
  </si>
  <si>
    <t>Surface habitable</t>
  </si>
  <si>
    <t>Considérer la surface chauffée</t>
  </si>
  <si>
    <t>Nb occupants</t>
  </si>
  <si>
    <t>Définition des couleurs des champs</t>
  </si>
  <si>
    <t>Informations Complémentaires</t>
  </si>
  <si>
    <t>SCOP Fiabitat Concept</t>
  </si>
  <si>
    <t>Construction et ingénierie Ecologique</t>
  </si>
  <si>
    <t>Ecoparc d'affaires, 41210 Neung sur Beuvron</t>
  </si>
  <si>
    <t>France</t>
  </si>
  <si>
    <t>Tel: 02-54-94-62-10</t>
  </si>
  <si>
    <t>Fax: 02-54-94-62-18</t>
  </si>
  <si>
    <t>Considérer le nombre d'occupants moyens sur la période de l'année</t>
  </si>
  <si>
    <t>Nb de pièces principales</t>
  </si>
  <si>
    <t>Au sens de pièces de vie. Comptabiliser les séjours, chambres, bureaux. Ce sont les pièces qui auront une entrée d'air neuf</t>
  </si>
  <si>
    <t>Volume intérieur. Le calcul de base considère la surface chauffée x la hauteur moyenne. Permet de calculer le taux de renouvellement d'air moyen</t>
  </si>
  <si>
    <t>DJU 18</t>
  </si>
  <si>
    <t xml:space="preserve">Le DJU 18 est une donnée caractérisant les températures en hiver. L'indicateur correspond à (DJU = 18 - (Tmin+Tmax)/2). </t>
  </si>
  <si>
    <t>Voir définition wikipédia</t>
  </si>
  <si>
    <t>Tableaux avec DJU sur plusieurs villes de France</t>
  </si>
  <si>
    <t>Exposition des façades</t>
  </si>
  <si>
    <t>L'exposition au vent dépend du terrain, son environnement proche et de la végétation pouvant abriter les façades extérieures. Des facades protégées seront moins sensibles aux fuites d'étanchéité.</t>
  </si>
  <si>
    <t>Surchauffe</t>
  </si>
  <si>
    <t xml:space="preserve">Cette estimation grossière à pour fonction, dans la mesure ou un puits canadien est envisagé, de paramétrer celui-ci pour qu'il produise des débits de ventilation plus ou moins conséquents dans les pièces de vie.
Ce paramètre n'est à saisir que si un puits canadien est envisagé. L'utilisateur devra prendre en considération le fait qu'un puits canadien devant traiter une grosse surchauffe nécessitera une installation plus couteuse et surtout une adaptation du diamètre des conduits intérieurs, induisant un encombrement plus délicat à gérer. Donc ce type d'installation est un dernier recours, lorsque toutes les autres options passives réduisant l'inconfort d'été ont été envisagées. </t>
  </si>
  <si>
    <t>Prix énergie</t>
  </si>
  <si>
    <t>Si non connu, on pourra se baser sur les données suivantes</t>
  </si>
  <si>
    <t>Electricité : dépend du fournisseur, voir sur son site internet</t>
  </si>
  <si>
    <t>Gaz : dépend du fournisseur, varie fortement selon le type d'abonnement. voir sur son site internet</t>
  </si>
  <si>
    <t>Bois buches : en général entre 0,03 et 0,05 €/ kWh selon le type de bois et le conditionnement</t>
  </si>
  <si>
    <t>Conversions en kWh</t>
  </si>
  <si>
    <t>kWh PCI</t>
  </si>
  <si>
    <t xml:space="preserve">par </t>
  </si>
  <si>
    <t>Plaquettes d'industrie</t>
  </si>
  <si>
    <t>Tonne</t>
  </si>
  <si>
    <t>Plaquettes forestières</t>
  </si>
  <si>
    <t>Granulés, briquettes</t>
  </si>
  <si>
    <t>Granulés de bois DIN+</t>
  </si>
  <si>
    <t>Bûches</t>
  </si>
  <si>
    <t>Stère</t>
  </si>
  <si>
    <t>Propane</t>
  </si>
  <si>
    <t>bois plaquette</t>
  </si>
  <si>
    <t>Fioul, gazole, pétrole brut</t>
  </si>
  <si>
    <t>litre</t>
  </si>
  <si>
    <t>Houille</t>
  </si>
  <si>
    <t>Bouteille butane</t>
  </si>
  <si>
    <t>kg</t>
  </si>
  <si>
    <t>Agglomérés et briquettes de lignite</t>
  </si>
  <si>
    <t>Lignite et produits de récupération</t>
  </si>
  <si>
    <t>Coke de houille</t>
  </si>
  <si>
    <t>valeur n50</t>
  </si>
  <si>
    <t>Valeur de référence utilisée pour la caractérisation de l'étanchéité à l'air d'un logement. Correspond à un débit de fuite sous 50 Pa de perte de pression. Cette valeur est obtenue par une mesure faite avec un appareil de type "porte soufflante"</t>
  </si>
  <si>
    <t>Valeur q4</t>
  </si>
  <si>
    <t>Valeur de référence utilisée par les calculs thermiques RT2012</t>
  </si>
  <si>
    <t>Le choix d'un système hygroréglable abaisse le niveau de ventilation de 15% par rapport aux débits de référence calculés selon les débits réglementaires.</t>
  </si>
  <si>
    <t>Il est possible de modifier les paramètres de ventilation, pour les adapter à un usage différent.</t>
  </si>
  <si>
    <t>en heure/j</t>
  </si>
  <si>
    <t>maximum de débit</t>
  </si>
  <si>
    <t>Il faut se rendre ici</t>
  </si>
  <si>
    <t>Le scénario de base considère le débit maximum de pointe comme référence.</t>
  </si>
  <si>
    <t>La modulation considère que ce débit est utilisé 2,4 h/j, et qu'une variation des débits en fonction de l'heure de la journée est réalisée.</t>
  </si>
  <si>
    <t xml:space="preserve">Si le local étudié est un bureau par exemple, les coefficients peuvent être adaptés sur le principe ci-dessus. </t>
  </si>
  <si>
    <t>VMC tournant à 100% 12h par jour et coupée le reste du temps, pendant les périodes d'absence.</t>
  </si>
  <si>
    <t>Type de vmc :</t>
  </si>
  <si>
    <t>Correction bug sur les DJU personnalisés</t>
  </si>
  <si>
    <t>Ajout choix type de vmc sur la variante</t>
  </si>
  <si>
    <t>Ajout Lexique</t>
  </si>
  <si>
    <t>Données des VMC double flux</t>
  </si>
  <si>
    <t>Rendement</t>
  </si>
  <si>
    <t>Valeur NF = &gt; Selon la NF EN 13141-7 (ou EN 308)</t>
  </si>
  <si>
    <t>La justification par le fabricant se fait soit par une certification NF VMC (NF 205)</t>
  </si>
  <si>
    <t>Voir site internet de CERTITA</t>
  </si>
  <si>
    <t>Soit par un laboratoire indépendant (seul le caisson est caractérisé). Souvent en France, le CETIAT</t>
  </si>
  <si>
    <t>Pour les produits non francais, le laboratoire peut etre différent, bien vérifier que le protocole correspond</t>
  </si>
  <si>
    <t xml:space="preserve">Garder à l'esprit que tout fabricant annoncant des rendements sans les justifier ne vaut rien. </t>
  </si>
  <si>
    <t>Valeur passive n WRG</t>
  </si>
  <si>
    <t>Le rendement NF est aussi appellé le rendement nominal sur l'air neuf. C'est le rapport entre les températures d'air en entrée et sortie de caisson.</t>
  </si>
  <si>
    <t>Pour plus d'informations, consulter notre dossier.</t>
  </si>
  <si>
    <t>La justification est réalisée par le passiv haus Institut.</t>
  </si>
  <si>
    <t>Est aussi appellée le rendement sur l'air extrait. Permet de tenir compte de la qualité isolante du caisson, et la chaleur dégagée par le ventilateur. Se rapproche du rendement moyen réel.</t>
  </si>
  <si>
    <t>Valeur à prendre en compte pour les échangeurs enthalpiques</t>
  </si>
  <si>
    <t>Un échangeur enthalpique est constituée d'une membrane permettant une récupération de l'humidité de l'air extrait. Les rendements énergétiques sont théoriquement améliorés, mais pour le moment les calculs thermiques ne peuvent pas en tenir compte. Nous préconisons de ne pas en tenir compte dans le calcul, et utiliser le rendement justifié de l'échangeur standards.</t>
  </si>
  <si>
    <t>Caractérisée dans le certificat NF VMC et le certificat passif</t>
  </si>
  <si>
    <t>La valeur est ramenée en Wh/m3</t>
  </si>
  <si>
    <t xml:space="preserve">Etanchéité à l'air </t>
  </si>
  <si>
    <t>Acoustique</t>
  </si>
  <si>
    <t>La valeur est indiquée en dB(A)</t>
  </si>
  <si>
    <t>Nous n'avons indiqué que les valeurs des certificats passifs, les valeurs NF n'étant pas établies selon les mêmes procédures (débit max pour le passif, débit moyen pour la NF)</t>
  </si>
  <si>
    <t>Non modifiable</t>
  </si>
  <si>
    <t>Champs de saisie à renseigner</t>
  </si>
  <si>
    <t>Correction bug avec les liens</t>
  </si>
  <si>
    <t>Deefly CUBE</t>
  </si>
  <si>
    <t>ajout vmc deefly cube</t>
  </si>
  <si>
    <t>Santos 370DC</t>
  </si>
  <si>
    <t>modification prix Novus</t>
  </si>
  <si>
    <t>ajout Paul santos</t>
  </si>
  <si>
    <t>Ajouts acoustique des produits NF</t>
  </si>
  <si>
    <t>Ajout indication si régulation bouches hygro</t>
  </si>
  <si>
    <t>HCH 8</t>
  </si>
  <si>
    <t>HCH 5</t>
  </si>
  <si>
    <t>Ajout dantherm HCH8 et HCH5</t>
  </si>
  <si>
    <t>Présence puits canadien</t>
  </si>
  <si>
    <t>nL2</t>
  </si>
  <si>
    <t>correction bugs prise en compte batterie dégivrage variante</t>
  </si>
  <si>
    <t>correction bugs prise en compte fuites d'étanchéité variante</t>
  </si>
  <si>
    <t>Modification prix ttc Dantherm HCH 5</t>
  </si>
  <si>
    <t>Feuille basée sur norme NF EN 15251 : Annexe B (informative) Base des critères pour la qualité de l'air intérieur
et les débits de ventilation</t>
  </si>
  <si>
    <t>&gt;4</t>
  </si>
  <si>
    <t>Tableau 1B : Débits de ventilation requis de base pour diluer les émissions (bio effluents) dues aux personnes</t>
  </si>
  <si>
    <t>Bâtiments très peu polluants</t>
  </si>
  <si>
    <t>Bâtiments peu polluants</t>
  </si>
  <si>
    <t>Autres bâtiments</t>
  </si>
  <si>
    <t>Tableau 1B : Débits de ventilation requis de base pour diluer les émissions (bio effluents) dues aux emissions, en m² de surface au sol de la pièce</t>
  </si>
  <si>
    <t>Hypothèse 1</t>
  </si>
  <si>
    <t>Pourcentage attendu d'insatisfaits</t>
  </si>
  <si>
    <t>&gt; 30%</t>
  </si>
  <si>
    <t>m3/h par personne</t>
  </si>
  <si>
    <t>Nombre d'occupants</t>
  </si>
  <si>
    <t>m3/h pour émissions dues aux personnes</t>
  </si>
  <si>
    <t>m3/h par m² de shab</t>
  </si>
  <si>
    <t>Hypothèse 2</t>
  </si>
  <si>
    <t>Pollution COV dues au bâtiment et systèmes</t>
  </si>
  <si>
    <t>Total</t>
  </si>
  <si>
    <t>m3/h pour le global</t>
  </si>
  <si>
    <t>Tableau 5B : Débits de ventilation requis de base pour diluer les émissions (bio effluents) dues aux emissions, en m² de surface au sol de la pièce</t>
  </si>
  <si>
    <t>séjour</t>
  </si>
  <si>
    <t>Séjour</t>
  </si>
  <si>
    <t>Chambre 1</t>
  </si>
  <si>
    <t>Chambre 2</t>
  </si>
  <si>
    <t>Chambre 3</t>
  </si>
  <si>
    <t>Bureau</t>
  </si>
  <si>
    <t>p</t>
  </si>
  <si>
    <t>cuisine</t>
  </si>
  <si>
    <t>salle de bains</t>
  </si>
  <si>
    <t>toilettes</t>
  </si>
  <si>
    <t>Salle de bains</t>
  </si>
  <si>
    <t>WC principal</t>
  </si>
  <si>
    <t>WC étage</t>
  </si>
  <si>
    <t>En travaux</t>
  </si>
  <si>
    <t>Récupération de chaleur NF13141-7</t>
  </si>
  <si>
    <t>Récupération de chaleur nWRG</t>
  </si>
  <si>
    <t>RT 2005</t>
  </si>
  <si>
    <t>n50</t>
  </si>
  <si>
    <t>BBC / RT 2012</t>
  </si>
  <si>
    <t>Entre BBC et passif</t>
  </si>
  <si>
    <t>Choisir parmi les catégories suivantes le système de ventilation envisagé</t>
  </si>
  <si>
    <t>En savoir plus</t>
  </si>
  <si>
    <t>Choix VMC double flux / VMC double flux hygroréglable / VMC simple flux autoréglable / VMC simple flux hygroréglable</t>
  </si>
  <si>
    <r>
      <rPr>
        <u/>
        <sz val="8"/>
        <color indexed="8"/>
        <rFont val="Franklin Gothic Book"/>
        <family val="2"/>
      </rPr>
      <t xml:space="preserve">VMC double flux : </t>
    </r>
    <r>
      <rPr>
        <sz val="8"/>
        <color indexed="8"/>
        <rFont val="Franklin Gothic Book"/>
        <family val="2"/>
      </rPr>
      <t xml:space="preserve">sélectionner cet item pour les solutions de ventilation classiques, dont le fonctionnement est assuré soit à vitesse constante, soit via une régulation classique gérée par l'appareil. Dans ce cadre, les bouches d'extraction installées sont soit réglables, soit autoréglées.
</t>
    </r>
    <r>
      <rPr>
        <u/>
        <sz val="8"/>
        <color indexed="8"/>
        <rFont val="Franklin Gothic Book"/>
        <family val="2"/>
      </rPr>
      <t>VMC double flux hygroréglable :</t>
    </r>
    <r>
      <rPr>
        <sz val="8"/>
        <color indexed="8"/>
        <rFont val="Franklin Gothic Book"/>
        <family val="2"/>
      </rPr>
      <t xml:space="preserve"> selectionner cet item si la solution de ventilation est mentionnée "Hygroréglable", c'est à dire que les bouches d'extraction installées modulent le débit en fonction du taux d'humidité dans la pièce. Ces solutions permettent une ventilation adaptée à la présence de l'occupant, mais asservissent la ventilation uniquement à la détection de l'humidité.
</t>
    </r>
    <r>
      <rPr>
        <u/>
        <sz val="8"/>
        <color indexed="8"/>
        <rFont val="Franklin Gothic Book"/>
        <family val="2"/>
      </rPr>
      <t>VMC simple flux autoréglable :</t>
    </r>
    <r>
      <rPr>
        <sz val="8"/>
        <color indexed="8"/>
        <rFont val="Franklin Gothic Book"/>
        <family val="2"/>
      </rPr>
      <t xml:space="preserve"> sélectionner cet item pour les solution de ventilation dites "simple flux", qui consistent en une extraction par un caisson VMC, muni de bouches autoréglées (c'est à dire à débit constant).
</t>
    </r>
    <r>
      <rPr>
        <u/>
        <sz val="8"/>
        <color indexed="8"/>
        <rFont val="Franklin Gothic Book"/>
        <family val="2"/>
      </rPr>
      <t>VMC simple flux hygroréglable :</t>
    </r>
    <r>
      <rPr>
        <sz val="8"/>
        <color indexed="8"/>
        <rFont val="Franklin Gothic Book"/>
        <family val="2"/>
      </rPr>
      <t xml:space="preserve"> sélectionner cet item pour les solution de ventilation dites "simple flux", qui consistent en une extraction par un caisson VMC, muni de bouches hygroréglables (c'est à dire dont la plage de débit est variable, déterminée par la présence d'humidité de la pièce). Le fait que la VMC soit hygroréglable de type A ou B n'influe pas sur les consommations mais sur le confort (les régletes dans les menuiseries des pièces de vie sur les solutions de type B permettent une ventilation concentrée sur les pièces occupées).</t>
    </r>
  </si>
  <si>
    <t>Exemple de certificat NF VMC</t>
  </si>
  <si>
    <t>Certains fabricants annoncent des valeurs de rendement dans leur documentation commerciale. Il arrive assez fréquement que cette valeur ne correspondent pas aux valeurs réelles. Demander le certificat. Par exemple : Atlantic communique sur une valeur atteinte sur la DUOLIX de 92%, alors que le test du CETIAT la situe à 87,5%. Seule la DUOLIX MAX atteint 91,5%.</t>
  </si>
  <si>
    <t>Exemple de certificat passif</t>
  </si>
  <si>
    <t>❶</t>
  </si>
  <si>
    <t>❷</t>
  </si>
  <si>
    <t>❸</t>
  </si>
  <si>
    <t>Dans la NF, la valeur est exprimée en WthC. Elle correspond à une moyenne de la consommation électrique sur le débit maximum de base et le débit maximum de pointe (surventilation cuisine). Le temps d'usage du débit de pointe dépend du mécanisme de déclenchement du haut débit : avec temporisation, il est considéré un fonctionnement en haute vitesse 1 heure par jour, autrement 2 heures par jour.</t>
  </si>
  <si>
    <t>La valeur est indiquée en % de fuites pour une différence de pression donnée (200 Pa pour les fuites externes, 100 Pa sur les fuites internes)</t>
  </si>
  <si>
    <t>❹</t>
  </si>
  <si>
    <t>page 2 du certificat</t>
  </si>
  <si>
    <t>Consulter le lexique avant d'ajouter une nouvelle VMC</t>
  </si>
  <si>
    <t>-&gt; En savoir plus</t>
  </si>
  <si>
    <t>Résultats</t>
  </si>
  <si>
    <t>Ce champ vous permet de considérer des économies d'investissement sur d'autres lots liés à la présence d'une VMC double flux. A utiliser avec précaution. Par exemple : chauffage avec un poêle à bois. La présence de la VMC DF limite les écarts de température entre pièce et évite l'installation de système de chauffage complémentaire.
Le prix renseigné dans cette case est déduit de l'investissement du système VMC+réseau de distribution</t>
  </si>
  <si>
    <t>Economies d'investissement</t>
  </si>
  <si>
    <t>Déperditions liées aux infiltrations d'air</t>
  </si>
  <si>
    <t>Déperditions liées au rendement de la VMC DF</t>
  </si>
  <si>
    <t>Gains issus de la récupération de chaleur</t>
  </si>
  <si>
    <t>Lecture des diagrammes : en savoir plus</t>
  </si>
  <si>
    <t>Diagramme Couts d'investissements matériel</t>
  </si>
  <si>
    <t>type de conduits</t>
  </si>
  <si>
    <t>€/m² hab</t>
  </si>
  <si>
    <t>Ajouter des types de conduits</t>
  </si>
  <si>
    <t>Ajouter des modèles de VMC</t>
  </si>
  <si>
    <t>Ajouter --&gt;</t>
  </si>
  <si>
    <t>Qualité de conduits</t>
  </si>
  <si>
    <t>hypothèse : conduits PEHD premier prix</t>
  </si>
  <si>
    <t>Ajout d'informations sur le lexique</t>
  </si>
  <si>
    <t>Modifications graphiques sur les diagrammes</t>
  </si>
  <si>
    <t>Ajout possibilité choisir type de conduits différents pour variante</t>
  </si>
  <si>
    <t>By pass en été ?</t>
  </si>
  <si>
    <t>Protection antigel</t>
  </si>
  <si>
    <t>Peut être disposée dans local non chauffé ?</t>
  </si>
  <si>
    <t>Air neuf</t>
  </si>
  <si>
    <t>Exemple : VMC en local chauffé</t>
  </si>
  <si>
    <r>
      <t xml:space="preserve">Comment compter les linéaires : Ici, comptabiliser la longueur de conduits d'air neuf passant </t>
    </r>
    <r>
      <rPr>
        <u/>
        <sz val="12"/>
        <rFont val="Calibri"/>
        <family val="2"/>
      </rPr>
      <t>en local  chauffé</t>
    </r>
    <r>
      <rPr>
        <sz val="12"/>
        <rFont val="Calibri"/>
        <family val="2"/>
      </rPr>
      <t>, de la prise d'air au piquage sur la VMC (par exemple 3 m), et la longueur de conduits du rejet en volume chauffé, du piquage à la sortie (ici, 1,5m).
Si les conduits sont isolés avec 25 mm d'isolant (trait bleu), le rendement perd environ 6%.</t>
    </r>
  </si>
  <si>
    <t>Ajout aide pour selection de la déperdition liée à l'installation</t>
  </si>
  <si>
    <t>Diagramme bilan financier annuel</t>
  </si>
  <si>
    <t>Dégivrer avec batterie antigel ?</t>
  </si>
  <si>
    <t>Présente le bilan annuel en euros.
Le puits canadien, en hiver (basé sur une économie de chauffage) et été (économie de climatisation, sur base d'une clim électrique COP de 1)
La récupération de chaleur de la VMC double flux (par rapport à une VMC simple flux autoréglable)
La consommation électrique annuelle pour les ventilateurs (nota : s'il est indiqué que la VMC est coupée en dehors de l'hiver, par défaut le calcul considère une durée d'hiver de 205 jours / an.
La consommation électrique pour le dégivrage de l'échangeur de la VMC double flux. Par défaut, le dégivrage est considéré électrique, pour un déclenchement par cycle à partir de 0°C. Le paramétrage peut tout de fois être personnalisé, pour prendre en compte un dégivrage par abaissement du débit d'air neuf.</t>
  </si>
  <si>
    <t>Mode expert :</t>
  </si>
  <si>
    <t>T° minimum pour déclenchement batterie</t>
  </si>
  <si>
    <t>Les configurations correspondent aux données suivantes : données climatiques choisies, VMC simple flux autoréglable, étanchéité à l'air RT2005</t>
  </si>
  <si>
    <t>Objectif RT 2005 : données climatiques choisies, VMC simple flux autoréglable, étanchéité à l'air RT2005</t>
  </si>
  <si>
    <t>Objectif RT 2012 : données climatiques choisies, VMC simple flux hygroréglable, étanchéité à l'air RT2012</t>
  </si>
  <si>
    <t>Objectif passif : données climatiques choisies, VMC double flux haut rendement, étanchéité à l'air passive</t>
  </si>
  <si>
    <t>Bilan déperditif en kWh/m².hab.a</t>
  </si>
  <si>
    <r>
      <t xml:space="preserve">Dans un bilan thermique, le </t>
    </r>
    <r>
      <rPr>
        <u/>
        <sz val="8"/>
        <color indexed="8"/>
        <rFont val="Franklin Gothic Book"/>
        <family val="2"/>
      </rPr>
      <t>besoin de chauffage</t>
    </r>
    <r>
      <rPr>
        <sz val="8"/>
        <color indexed="8"/>
        <rFont val="Franklin Gothic Book"/>
        <family val="2"/>
      </rPr>
      <t xml:space="preserve"> correspond à la somme des déperditions conductives (ponts thermiques, parois, menuiseries) et des déperditions aérauliques (ventilation, infiltrations d'air), moins les apports utiles (soleil, métabolismes, appareils). Le diagramme compare les </t>
    </r>
    <r>
      <rPr>
        <u/>
        <sz val="8"/>
        <color indexed="8"/>
        <rFont val="Franklin Gothic Book"/>
        <family val="2"/>
      </rPr>
      <t>déperditions aérauliques</t>
    </r>
    <r>
      <rPr>
        <sz val="8"/>
        <color indexed="8"/>
        <rFont val="Franklin Gothic Book"/>
        <family val="2"/>
      </rPr>
      <t xml:space="preserve"> du projet avec 3 configurations type, afin de visualiser ou se situe votre projet (RT2005, basse consommation, passif).
Le bilan est exprimé en kWh d'énergie utile par m² habitable, par an</t>
    </r>
  </si>
  <si>
    <t>En général, 2 erreurs sont couramment faites :</t>
  </si>
  <si>
    <r>
      <rPr>
        <u/>
        <sz val="8"/>
        <color indexed="8"/>
        <rFont val="Franklin Gothic Book"/>
        <family val="2"/>
      </rPr>
      <t>Exprimer la pertinence d'une installation de ventilation, ou l'impact de l'étanchéité à l'air en énergie primaire</t>
    </r>
    <r>
      <rPr>
        <sz val="8"/>
        <color indexed="8"/>
        <rFont val="Franklin Gothic Book"/>
        <family val="2"/>
      </rPr>
      <t xml:space="preserve"> (les thermiciens le font souvent à partir du bilan thermique RT2005 ou RT2012, et vous disent : "</t>
    </r>
    <r>
      <rPr>
        <i/>
        <sz val="8"/>
        <color indexed="8"/>
        <rFont val="Franklin Gothic Book"/>
        <family val="2"/>
      </rPr>
      <t>entre une VMC double flux et une VMC simple flux hygro, l'impact sur le Cep est de 3-4 kWhep/m²shon.a</t>
    </r>
    <r>
      <rPr>
        <sz val="8"/>
        <color indexed="8"/>
        <rFont val="Franklin Gothic Book"/>
        <family val="2"/>
      </rPr>
      <t>". Le problème posé est que selon le type d'énergie utilisée pour le chauffage, l'impact est fortement variable, alors que les gains réels sont identiques. A partir d'un chauffage électrique, l'impact serait fort, à partir d'un chauffage au bois, l'impact serait faible.</t>
    </r>
  </si>
  <si>
    <r>
      <rPr>
        <u/>
        <sz val="8"/>
        <color indexed="8"/>
        <rFont val="Franklin Gothic Book"/>
        <family val="2"/>
      </rPr>
      <t>Exprimer uniquement les gains liés à la VMC</t>
    </r>
    <r>
      <rPr>
        <sz val="8"/>
        <color indexed="8"/>
        <rFont val="Franklin Gothic Book"/>
        <family val="2"/>
      </rPr>
      <t xml:space="preserve"> , ce qui amène certains commerciaux à prendre pour base de calcul du retour sur investissement de la VMC un taux de renouvellement d'air important, en considérant que plus la ventilation est élevée, plus la récupération de chaleur est importante. Sauf que le raisonnement est biaisé.
Exemple : une ventilation à 150 m3/h - 90% de rendement - deperditions : 2650 kWh sans VMC DF -&gt; 265 kWh avec VMC DF (gain de 2385 kWh)
                une ventilation à 300 m3/h - 90% de rendement - deperditions : 5300 kWh sans VMC DF -&gt; 530 kWh avec VMC DF (gain de 4770 kWh)
Dans le deuxième cas, vous aurez une consommation de chauffage plus importante que dans le premier cas, alors que le gain de la VMC est pourtant supérieur</t>
    </r>
  </si>
  <si>
    <t>Efficacité récupération de chaleur</t>
  </si>
  <si>
    <r>
      <t xml:space="preserve">Ce qui est ici mesuré est le </t>
    </r>
    <r>
      <rPr>
        <u/>
        <sz val="8"/>
        <color indexed="8"/>
        <rFont val="Franklin Gothic Book"/>
        <family val="2"/>
      </rPr>
      <t>rendement de récupération de chaleur global</t>
    </r>
    <r>
      <rPr>
        <sz val="8"/>
        <color indexed="8"/>
        <rFont val="Franklin Gothic Book"/>
        <family val="2"/>
      </rPr>
      <t>. C'est un exellent indicateur pour mesurer l'impact du niveau d'étanchéité à l'air sur votre installation de ventilation. 
Le calcul est basé sur :
Le rendement moyen de la VMC, basé soit sur le certificat passif, soit sur le certificat NF - 12%
Le rendement moyen de l'installation considère en plus du rendement moyen de la VMC les pertes liées aux conduits d'amenée d'air
Le rendement global correspond aux (déperditions installation + déperditions infiltrations d'air)/ (gains VMC)</t>
    </r>
  </si>
  <si>
    <t>Changer données de base
taux de renouvellement d'air</t>
  </si>
  <si>
    <t>Cuisine max</t>
  </si>
  <si>
    <t>Cuisine min</t>
  </si>
  <si>
    <t>Sdb</t>
  </si>
  <si>
    <t>WC</t>
  </si>
  <si>
    <t>Autres pièces d'eau</t>
  </si>
  <si>
    <t>Salles de bains</t>
  </si>
  <si>
    <t>WC unique*</t>
  </si>
  <si>
    <t>*WC unique = 1 seul WC dans la maison</t>
  </si>
  <si>
    <t>sans double vitesse</t>
  </si>
  <si>
    <t>avec double vitesse</t>
  </si>
  <si>
    <t>nb pieces principales</t>
  </si>
  <si>
    <t xml:space="preserve">Changer valeurs type </t>
  </si>
  <si>
    <t>Est chiffré :
Le prix de vente TTC du matériel, issu de la base de données (2eme feuillet). Le prix de vente peut être édité s'il ne correspond pas à ce que vous avez constaté en éditant le montant dans la base. A cela est ajouté le cout de la distribution intérieure et de la pose sur base suivante :</t>
  </si>
  <si>
    <r>
      <t xml:space="preserve">Développé par Frédéric LOYAU
</t>
    </r>
    <r>
      <rPr>
        <b/>
        <sz val="14"/>
        <color indexed="8"/>
        <rFont val="Calibri"/>
        <family val="2"/>
      </rPr>
      <t>Objectif de l'outil</t>
    </r>
    <r>
      <rPr>
        <sz val="12"/>
        <color indexed="8"/>
        <rFont val="Calibri"/>
        <family val="2"/>
      </rPr>
      <t xml:space="preserve">
- Evaluer l'impact d'une solution de ventilation
- Evaluer l'impact de l'étanchéité à l'air
- Comparer les systèmes de ventilation entre eux
- Optimiser son installation de ventilation
Pour toute question sur le fonctionnement du logiciel :
contact@fiabitat.com</t>
    </r>
  </si>
  <si>
    <t xml:space="preserve">Ajout possibilité de personnalisation des débits d'air </t>
  </si>
  <si>
    <t>sans isolation</t>
  </si>
  <si>
    <t>25 mm isolation</t>
  </si>
  <si>
    <t>50 mm isolation</t>
  </si>
  <si>
    <t>100 mm isolation</t>
  </si>
  <si>
    <t>Compatibilités</t>
  </si>
  <si>
    <t>version XLS</t>
  </si>
  <si>
    <t>Libre Office 4,02</t>
  </si>
  <si>
    <t>version ODS</t>
  </si>
  <si>
    <t>http://fr.libreoffice.org/telecharger/#script_telechargement</t>
  </si>
  <si>
    <t>Microsoft excel 2003 / 2007 / 2010</t>
  </si>
  <si>
    <t>Open Office 3,4</t>
  </si>
  <si>
    <t>problèmes d'affichage</t>
  </si>
  <si>
    <t xml:space="preserve">Si vous rencontrez des problèmes d'affichage de la feuille avec Open Office, nous vous conseillons de télécharger Libre Office (une reprise du projet open office par la communauté internet qui garde le principe de l'open source et de la gratuité pour l'usager).
Notre feuille de calcul au format ODS a été optimisée à partir de ce logiciel. </t>
  </si>
  <si>
    <t>Problèmes d'affichage  ? Voir ici</t>
  </si>
  <si>
    <t>(ne pas indiquer en valeur négative)</t>
  </si>
  <si>
    <t>Incidence : reporter l'indicateur correspondant sur le diagramme, chute du rendement de X % :</t>
  </si>
  <si>
    <t>Ideo 2</t>
  </si>
  <si>
    <t>Initia 225</t>
  </si>
  <si>
    <t>Renovent Exellent 300</t>
  </si>
  <si>
    <t>Brink</t>
  </si>
  <si>
    <t>taux de fuites externes caisson e</t>
  </si>
  <si>
    <t>taux de fuites internes caisson i</t>
  </si>
  <si>
    <t>150/160</t>
  </si>
  <si>
    <t>Dimension L</t>
  </si>
  <si>
    <t>Dimension l</t>
  </si>
  <si>
    <t>Dimension h</t>
  </si>
  <si>
    <t>Ajout de nouveaux caissons certifiés NF</t>
  </si>
  <si>
    <r>
      <t xml:space="preserve">
La feuille de calcul peut être téléchargée sur internet en cliquant sur le logo fiabishop.
Site internet spécialiste de la ventilation double flux et solutions puits canadiens
Licence d'utilisation : </t>
    </r>
    <r>
      <rPr>
        <b/>
        <sz val="12"/>
        <color indexed="8"/>
        <rFont val="Calibri"/>
        <family val="2"/>
      </rPr>
      <t xml:space="preserve">non commerciale
</t>
    </r>
    <r>
      <rPr>
        <sz val="12"/>
        <color indexed="8"/>
        <rFont val="Calibri"/>
        <family val="2"/>
      </rPr>
      <t xml:space="preserve">
</t>
    </r>
  </si>
  <si>
    <t>Correction d'un bug sur le calcul du gain du puits canadien/vmc double flux de la variante</t>
  </si>
  <si>
    <t>Investissement total</t>
  </si>
  <si>
    <t>Correction d'un bug sur le graphique comparatif (surconsommation électrique du puits canadien de la variante non pris en compte)</t>
  </si>
  <si>
    <t>Duocosy HR</t>
  </si>
  <si>
    <t>Optimocosy HR</t>
  </si>
  <si>
    <t>Renovent Exellent 150</t>
  </si>
  <si>
    <t>HYPOTHESES DE CALCUL</t>
  </si>
  <si>
    <t>Etape 1 : définir la maison</t>
  </si>
  <si>
    <t>Débit d'air moyen :</t>
  </si>
  <si>
    <t>Taux de renouvellement d'air moyen :</t>
  </si>
  <si>
    <t>Station météorologique :</t>
  </si>
  <si>
    <t>Fuites d'étanchéité :</t>
  </si>
  <si>
    <t>N'oubliez pas que vous pouvez vous reporter à la feuille lexique pour plus d'information sur les données à renseigner.</t>
  </si>
  <si>
    <t>Type d'exposition au vent :</t>
  </si>
  <si>
    <t>Surchauffe estivale bâtiment :</t>
  </si>
  <si>
    <t>Prix énergie chauffage :</t>
  </si>
  <si>
    <t>Prix électricité :</t>
  </si>
  <si>
    <t>Etape 2 : choisir une solution de ventilation</t>
  </si>
  <si>
    <t>En savoir plus sur les niveaux</t>
  </si>
  <si>
    <t>Efficience électrique en W/m3h</t>
  </si>
  <si>
    <t>Rendement moyen nWRG en %</t>
  </si>
  <si>
    <t>Qualité des conduits intérieurs :</t>
  </si>
  <si>
    <r>
      <t xml:space="preserve">Note : la qualité des conduits détermine les possibilités d'entretien des réseaux, et donc impacte directement la qualité de l'installation. </t>
    </r>
    <r>
      <rPr>
        <b/>
        <sz val="10"/>
        <color indexed="8"/>
        <rFont val="Arial"/>
        <family val="2"/>
      </rPr>
      <t>Recommandation : conduits de qualité alimentaire</t>
    </r>
  </si>
  <si>
    <t>Note : Couper la VMC implique de continuer à ventiler pendant cette période, en ouvrant régulièrement les fenêtres. Cela permet d'augmenter la durée de vie des filtres, et limiter la consommation électrique.</t>
  </si>
  <si>
    <r>
      <t xml:space="preserve">Note : La déperdition liée aux réseaux est souvent peu considérée, pourtant elle est essentielle dès que les caissons ont de très hauts rendements. Des conduites peu isolées transitent de l'air extérieur jusqu'au caisson. 
</t>
    </r>
    <r>
      <rPr>
        <b/>
        <sz val="10"/>
        <color indexed="8"/>
        <rFont val="Arial"/>
        <family val="2"/>
      </rPr>
      <t>Principes de conception à retenir :</t>
    </r>
    <r>
      <rPr>
        <sz val="10"/>
        <color indexed="8"/>
        <rFont val="Arial"/>
        <family val="2"/>
      </rPr>
      <t xml:space="preserve">
- Le minimum de linéaire entre les prises d'air et le caisson
- Une isolation de 25 mm au minimum</t>
    </r>
  </si>
  <si>
    <t>Etape 3 : caractéristiques de la VMC sélectionnée</t>
  </si>
  <si>
    <t>Produit sélectionné :</t>
  </si>
  <si>
    <t xml:space="preserve">Marque : </t>
  </si>
  <si>
    <t>Etape 4 : caractéristiques de l'installation complète, recommandations</t>
  </si>
  <si>
    <r>
      <rPr>
        <b/>
        <sz val="11"/>
        <color indexed="8"/>
        <rFont val="Arial"/>
        <family val="2"/>
      </rPr>
      <t xml:space="preserve">Critère de confort température de soufflage de 15°C minimum : </t>
    </r>
    <r>
      <rPr>
        <sz val="11"/>
        <color indexed="8"/>
        <rFont val="Arial"/>
        <family val="2"/>
      </rPr>
      <t>Le critère de confort est un indicateur calculé à partir du rendement moyen de la VMC double flux et/ou du puits canadien. Il est toutefois possible que si vous mesurez la température de l'air aux bouches de soufflage, vous constatiez plus que ce que l'outil indique. 
La raison en est que entre le piquage et la bouche, si le conduit passe dans le volume chauffé, l'air soufflé peut se réchauffer en prélevant les calories à ce volume.</t>
    </r>
  </si>
  <si>
    <r>
      <rPr>
        <b/>
        <sz val="11"/>
        <color indexed="8"/>
        <rFont val="Arial"/>
        <family val="2"/>
      </rPr>
      <t xml:space="preserve">Investissement : </t>
    </r>
    <r>
      <rPr>
        <sz val="11"/>
        <color indexed="8"/>
        <rFont val="Arial"/>
        <family val="2"/>
      </rPr>
      <t>l'étude économique plus bas va indiquer le retour sur investissement de la VMC double flux. Assez régulièrement, le fait que la maison soit plus efficace thermiquement permet de diminuer des investissements sur d'autres lots, par exemple sur des chauffages de complément. Vous pouvez indiquer ici si c'est le cas.</t>
    </r>
  </si>
  <si>
    <t>Etape 5 : efficacité thermique de l'installation</t>
  </si>
  <si>
    <t>LEGENDE</t>
  </si>
  <si>
    <t>Etape 7 : efficacité thermique comparée</t>
  </si>
  <si>
    <t>Etape 6 : comparaison des valeurs certifiées</t>
  </si>
  <si>
    <t>Choisir un modèle à comparer</t>
  </si>
  <si>
    <t>Maico</t>
  </si>
  <si>
    <t>WS 320</t>
  </si>
  <si>
    <t>selon versions</t>
  </si>
  <si>
    <t>WS 470</t>
  </si>
  <si>
    <t>_</t>
  </si>
  <si>
    <t>WS 170</t>
  </si>
  <si>
    <t>Ajout de VMC</t>
  </si>
  <si>
    <t>Relooking de l'outil</t>
  </si>
  <si>
    <t>COMPARAISON ENTRE SOLUTIONS DE VENTILATION</t>
  </si>
  <si>
    <t>HCC 2</t>
  </si>
  <si>
    <t>option</t>
  </si>
  <si>
    <r>
      <t xml:space="preserve">Logiciel d'évaluation simplifiée
</t>
    </r>
    <r>
      <rPr>
        <b/>
        <sz val="24"/>
        <color theme="8" tint="0.79998168889431442"/>
        <rFont val="Calibri"/>
        <family val="2"/>
      </rPr>
      <t>ventilation simple flux / double flux / Puits canadien</t>
    </r>
  </si>
  <si>
    <t>Volume d'air à renouveler :</t>
  </si>
  <si>
    <t xml:space="preserve">m3     x </t>
  </si>
  <si>
    <t>vol/h   =</t>
  </si>
  <si>
    <t xml:space="preserve">Chambre principale 2p : </t>
  </si>
  <si>
    <t xml:space="preserve">Séjour / salon : </t>
  </si>
  <si>
    <t>m³/h  en base</t>
  </si>
  <si>
    <t>m³/h en pointe</t>
  </si>
  <si>
    <t xml:space="preserve">   (si séjour et salon séparé, répartir l'air entre les pièces)</t>
  </si>
  <si>
    <t>Débit moyen conseillé :</t>
  </si>
  <si>
    <t>Débit de pointe conseillé :</t>
  </si>
  <si>
    <t>vol/heures</t>
  </si>
  <si>
    <t>Extraction d'air vicié (dépend du nombre et du type de pièces d'eau)</t>
  </si>
  <si>
    <t>Renouvellement d'air de chaque pièce de vie</t>
  </si>
  <si>
    <t>Taux de renouvellement d'air minimal</t>
  </si>
  <si>
    <t>Les débits d'air indiqués ici devront être assurés en présence des habitants : il sera possible d'abaisser fortement ceux-ci pendant les périodes d'absence</t>
  </si>
  <si>
    <t>m³ par pers</t>
  </si>
  <si>
    <t>Volume d'air par habitant</t>
  </si>
  <si>
    <t>Pour logement résidentiel uniquement</t>
  </si>
  <si>
    <t>m3/h.pers</t>
  </si>
  <si>
    <t>m3/h.pers.piece</t>
  </si>
  <si>
    <t>Arreté de 1982</t>
  </si>
  <si>
    <t>Débits d'air extraits :</t>
  </si>
  <si>
    <t>Débits d'air pièce de vie :</t>
  </si>
  <si>
    <t>Global :</t>
  </si>
  <si>
    <t xml:space="preserve">Chambre enfant 1 : </t>
  </si>
  <si>
    <t xml:space="preserve">Chambre enfant 2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</si>
</sst>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79" x14ac:knownFonts="1">
    <font>
      <sz val="12"/>
      <color indexed="8"/>
      <name val="Calibri"/>
      <family val="2"/>
    </font>
    <font>
      <b/>
      <sz val="12"/>
      <color indexed="8"/>
      <name val="Calibri"/>
      <family val="2"/>
    </font>
    <font>
      <sz val="10"/>
      <color indexed="8"/>
      <name val="Calibri"/>
      <family val="2"/>
    </font>
    <font>
      <sz val="12"/>
      <color indexed="8"/>
      <name val="Calibri"/>
      <family val="2"/>
    </font>
    <font>
      <b/>
      <sz val="20"/>
      <color indexed="8"/>
      <name val="Calibri"/>
      <family val="2"/>
    </font>
    <font>
      <sz val="8"/>
      <color indexed="8"/>
      <name val="Calibri"/>
      <family val="2"/>
    </font>
    <font>
      <sz val="11"/>
      <color indexed="8"/>
      <name val="Tw Cen MT"/>
      <family val="2"/>
      <charset val="1"/>
    </font>
    <font>
      <sz val="10"/>
      <name val="MS Sans Serif"/>
      <family val="2"/>
      <charset val="1"/>
    </font>
    <font>
      <sz val="12"/>
      <name val="Calibri"/>
      <family val="2"/>
    </font>
    <font>
      <sz val="9"/>
      <color indexed="81"/>
      <name val="Tahoma"/>
      <family val="2"/>
    </font>
    <font>
      <b/>
      <sz val="9"/>
      <color indexed="81"/>
      <name val="Tahoma"/>
      <family val="2"/>
    </font>
    <font>
      <sz val="8"/>
      <name val="Calibri"/>
      <family val="2"/>
    </font>
    <font>
      <b/>
      <sz val="14"/>
      <color indexed="8"/>
      <name val="Calibri"/>
      <family val="2"/>
    </font>
    <font>
      <sz val="20"/>
      <color indexed="8"/>
      <name val="Calibri"/>
      <family val="2"/>
    </font>
    <font>
      <sz val="11"/>
      <name val="Tw Cen MT"/>
      <family val="2"/>
      <charset val="1"/>
    </font>
    <font>
      <sz val="10"/>
      <name val="Arial"/>
      <family val="2"/>
    </font>
    <font>
      <b/>
      <sz val="10"/>
      <name val="Arial"/>
      <family val="2"/>
    </font>
    <font>
      <sz val="11"/>
      <color indexed="8"/>
      <name val="Arial"/>
      <family val="2"/>
    </font>
    <font>
      <b/>
      <sz val="12"/>
      <color indexed="8"/>
      <name val="Arial"/>
      <family val="2"/>
    </font>
    <font>
      <sz val="12"/>
      <color indexed="8"/>
      <name val="Arial"/>
      <family val="2"/>
    </font>
    <font>
      <b/>
      <sz val="14"/>
      <color indexed="8"/>
      <name val="Arial"/>
      <family val="2"/>
    </font>
    <font>
      <i/>
      <sz val="12"/>
      <color indexed="8"/>
      <name val="Calibri"/>
      <family val="2"/>
    </font>
    <font>
      <b/>
      <sz val="12"/>
      <name val="Arial"/>
      <family val="2"/>
      <charset val="1"/>
    </font>
    <font>
      <b/>
      <sz val="11"/>
      <name val="Arial"/>
      <family val="2"/>
      <charset val="1"/>
    </font>
    <font>
      <u/>
      <sz val="10"/>
      <color indexed="12"/>
      <name val="Arial"/>
      <family val="2"/>
      <charset val="1"/>
    </font>
    <font>
      <sz val="10"/>
      <color indexed="8"/>
      <name val="Arial"/>
      <family val="2"/>
    </font>
    <font>
      <b/>
      <sz val="12"/>
      <name val="Calibri"/>
      <family val="2"/>
    </font>
    <font>
      <sz val="12"/>
      <color indexed="8"/>
      <name val="Franklin Gothic Book"/>
      <family val="2"/>
    </font>
    <font>
      <sz val="10"/>
      <color indexed="8"/>
      <name val="Franklin Gothic Book"/>
      <family val="2"/>
    </font>
    <font>
      <sz val="12"/>
      <name val="Franklin Gothic Book"/>
      <family val="2"/>
    </font>
    <font>
      <sz val="8"/>
      <color indexed="8"/>
      <name val="Franklin Gothic Book"/>
      <family val="2"/>
    </font>
    <font>
      <sz val="8"/>
      <color indexed="9"/>
      <name val="Franklin Gothic Book"/>
      <family val="2"/>
    </font>
    <font>
      <sz val="8"/>
      <name val="Franklin Gothic Book"/>
      <family val="2"/>
    </font>
    <font>
      <b/>
      <sz val="8"/>
      <color indexed="8"/>
      <name val="Franklin Gothic Book"/>
      <family val="2"/>
    </font>
    <font>
      <u/>
      <sz val="8"/>
      <color indexed="8"/>
      <name val="Franklin Gothic Book"/>
      <family val="2"/>
    </font>
    <font>
      <u/>
      <sz val="12"/>
      <name val="Calibri"/>
      <family val="2"/>
    </font>
    <font>
      <i/>
      <sz val="8"/>
      <color indexed="8"/>
      <name val="Franklin Gothic Book"/>
      <family val="2"/>
    </font>
    <font>
      <sz val="8"/>
      <name val="Arial"/>
      <family val="2"/>
    </font>
    <font>
      <u/>
      <sz val="8.4"/>
      <color theme="10"/>
      <name val="Calibri"/>
      <family val="2"/>
    </font>
    <font>
      <sz val="12"/>
      <color rgb="FFFF0000"/>
      <name val="Calibri"/>
      <family val="2"/>
    </font>
    <font>
      <sz val="12"/>
      <color theme="0"/>
      <name val="Calibri"/>
      <family val="2"/>
    </font>
    <font>
      <sz val="11"/>
      <color theme="0"/>
      <name val="Tw Cen MT"/>
      <family val="2"/>
      <charset val="1"/>
    </font>
    <font>
      <sz val="10"/>
      <color rgb="FFFF0000"/>
      <name val="Calibri"/>
      <family val="2"/>
    </font>
    <font>
      <b/>
      <sz val="12"/>
      <color rgb="FFFF0000"/>
      <name val="Calibri"/>
      <family val="2"/>
    </font>
    <font>
      <sz val="12"/>
      <color rgb="FFC00000"/>
      <name val="Franklin Gothic Book"/>
      <family val="2"/>
    </font>
    <font>
      <sz val="12"/>
      <color theme="0"/>
      <name val="Franklin Gothic Book"/>
      <family val="2"/>
    </font>
    <font>
      <sz val="12"/>
      <color rgb="FFFF0000"/>
      <name val="Franklin Gothic Book"/>
      <family val="2"/>
    </font>
    <font>
      <u/>
      <sz val="8"/>
      <color theme="10"/>
      <name val="Franklin Gothic Book"/>
      <family val="2"/>
    </font>
    <font>
      <sz val="12"/>
      <color theme="0" tint="-0.34998626667073579"/>
      <name val="Calibri"/>
      <family val="2"/>
    </font>
    <font>
      <sz val="10"/>
      <color theme="0" tint="-0.34998626667073579"/>
      <name val="Calibri"/>
      <family val="2"/>
    </font>
    <font>
      <sz val="10"/>
      <color theme="0" tint="-0.499984740745262"/>
      <name val="Calibri"/>
      <family val="2"/>
    </font>
    <font>
      <u/>
      <sz val="12"/>
      <color theme="10"/>
      <name val="Calibri"/>
      <family val="2"/>
    </font>
    <font>
      <sz val="11"/>
      <color rgb="FFFF0000"/>
      <name val="Tw Cen MT"/>
      <family val="2"/>
      <charset val="1"/>
    </font>
    <font>
      <sz val="14"/>
      <color theme="10"/>
      <name val="Calibri"/>
      <family val="2"/>
    </font>
    <font>
      <sz val="12"/>
      <color rgb="FFC00000"/>
      <name val="Calibri"/>
      <family val="2"/>
    </font>
    <font>
      <sz val="10"/>
      <color theme="0"/>
      <name val="Calibri"/>
      <family val="2"/>
    </font>
    <font>
      <sz val="10"/>
      <color theme="0"/>
      <name val="Arial"/>
      <family val="2"/>
    </font>
    <font>
      <b/>
      <sz val="14"/>
      <color theme="1" tint="0.14999847407452621"/>
      <name val="Arial"/>
      <family val="2"/>
    </font>
    <font>
      <sz val="11"/>
      <color theme="0"/>
      <name val="Arial"/>
      <family val="2"/>
    </font>
    <font>
      <b/>
      <sz val="18"/>
      <color theme="8" tint="0.79998168889431442"/>
      <name val="Britannic Bold"/>
      <family val="2"/>
    </font>
    <font>
      <b/>
      <sz val="16"/>
      <color theme="0"/>
      <name val="Arial"/>
      <family val="2"/>
    </font>
    <font>
      <b/>
      <sz val="14"/>
      <color rgb="FFF9F9F9"/>
      <name val="Arial"/>
      <family val="2"/>
    </font>
    <font>
      <u/>
      <sz val="12"/>
      <color theme="10"/>
      <name val="Darwin"/>
      <family val="3"/>
    </font>
    <font>
      <b/>
      <sz val="16"/>
      <color indexed="8"/>
      <name val="Calibri"/>
      <family val="2"/>
    </font>
    <font>
      <sz val="36"/>
      <color theme="0"/>
      <name val="Darwin"/>
      <family val="3"/>
    </font>
    <font>
      <b/>
      <sz val="10"/>
      <color indexed="8"/>
      <name val="Arial"/>
      <family val="2"/>
    </font>
    <font>
      <sz val="11"/>
      <color theme="0" tint="-0.34998626667073579"/>
      <name val="Arial"/>
      <family val="2"/>
    </font>
    <font>
      <sz val="12"/>
      <color indexed="8"/>
      <name val="Darwin"/>
      <family val="3"/>
    </font>
    <font>
      <sz val="12"/>
      <name val="Darwin"/>
      <family val="3"/>
    </font>
    <font>
      <sz val="12"/>
      <color theme="1" tint="4.9989318521683403E-2"/>
      <name val="Darwin"/>
      <family val="3"/>
    </font>
    <font>
      <sz val="12"/>
      <color theme="0"/>
      <name val="Darwin"/>
      <family val="3"/>
    </font>
    <font>
      <b/>
      <sz val="11"/>
      <color indexed="8"/>
      <name val="Arial"/>
      <family val="2"/>
    </font>
    <font>
      <sz val="11"/>
      <color theme="0" tint="-0.14999847407452621"/>
      <name val="Tw Cen MT"/>
      <family val="2"/>
      <charset val="1"/>
    </font>
    <font>
      <b/>
      <sz val="36"/>
      <color theme="8" tint="0.79998168889431442"/>
      <name val="Calibri"/>
      <family val="2"/>
    </font>
    <font>
      <b/>
      <sz val="24"/>
      <color theme="8" tint="0.79998168889431442"/>
      <name val="Calibri"/>
      <family val="2"/>
    </font>
    <font>
      <b/>
      <sz val="18"/>
      <color theme="8" tint="0.79998168889431442"/>
      <name val="Calibri"/>
      <family val="2"/>
    </font>
    <font>
      <b/>
      <sz val="26"/>
      <color theme="1" tint="0.14999847407452621"/>
      <name val="Calibri"/>
      <family val="2"/>
    </font>
    <font>
      <sz val="36"/>
      <color indexed="8"/>
      <name val="Calibri"/>
      <family val="2"/>
    </font>
    <font>
      <i/>
      <sz val="12"/>
      <color indexed="8"/>
      <name val="Arial"/>
      <family val="2"/>
    </font>
  </fonts>
  <fills count="29">
    <fill>
      <patternFill patternType="none"/>
    </fill>
    <fill>
      <patternFill patternType="gray125"/>
    </fill>
    <fill>
      <patternFill patternType="solid">
        <fgColor indexed="31"/>
        <bgColor indexed="22"/>
      </patternFill>
    </fill>
    <fill>
      <patternFill patternType="solid">
        <fgColor indexed="22"/>
        <bgColor indexed="46"/>
      </patternFill>
    </fill>
    <fill>
      <patternFill patternType="solid">
        <fgColor indexed="44"/>
        <bgColor indexed="22"/>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
      <patternFill patternType="solid">
        <fgColor theme="0"/>
        <bgColor indexed="22"/>
      </patternFill>
    </fill>
    <fill>
      <patternFill patternType="solid">
        <fgColor theme="3" tint="-0.249977111117893"/>
        <bgColor indexed="64"/>
      </patternFill>
    </fill>
    <fill>
      <patternFill patternType="solid">
        <fgColor theme="0" tint="-0.34998626667073579"/>
        <bgColor indexed="64"/>
      </patternFill>
    </fill>
    <fill>
      <patternFill patternType="solid">
        <fgColor theme="0"/>
        <bgColor indexed="27"/>
      </patternFill>
    </fill>
    <fill>
      <patternFill patternType="solid">
        <fgColor theme="7" tint="0.59999389629810485"/>
        <bgColor indexed="27"/>
      </patternFill>
    </fill>
    <fill>
      <patternFill patternType="solid">
        <fgColor theme="2" tint="-0.249977111117893"/>
        <bgColor indexed="27"/>
      </patternFill>
    </fill>
    <fill>
      <patternFill patternType="solid">
        <fgColor theme="7" tint="0.79998168889431442"/>
        <bgColor indexed="64"/>
      </patternFill>
    </fill>
    <fill>
      <patternFill patternType="solid">
        <fgColor theme="2" tint="-0.249977111117893"/>
        <bgColor indexed="64"/>
      </patternFill>
    </fill>
    <fill>
      <patternFill patternType="solid">
        <fgColor theme="0" tint="-0.14999847407452621"/>
        <bgColor indexed="41"/>
      </patternFill>
    </fill>
    <fill>
      <patternFill patternType="solid">
        <fgColor theme="0"/>
        <bgColor indexed="26"/>
      </patternFill>
    </fill>
    <fill>
      <patternFill patternType="solid">
        <fgColor rgb="FFFFFF00"/>
        <bgColor indexed="64"/>
      </patternFill>
    </fill>
    <fill>
      <patternFill patternType="solid">
        <fgColor theme="1"/>
        <bgColor indexed="64"/>
      </patternFill>
    </fill>
    <fill>
      <patternFill patternType="solid">
        <fgColor theme="2" tint="-9.9978637043366805E-2"/>
        <bgColor indexed="64"/>
      </patternFill>
    </fill>
    <fill>
      <patternFill patternType="solid">
        <fgColor theme="4"/>
        <bgColor indexed="64"/>
      </patternFill>
    </fill>
    <fill>
      <patternFill patternType="solid">
        <fgColor rgb="FFFFC000"/>
        <bgColor indexed="64"/>
      </patternFill>
    </fill>
    <fill>
      <patternFill patternType="solid">
        <fgColor rgb="FF92D050"/>
        <bgColor indexed="64"/>
      </patternFill>
    </fill>
    <fill>
      <patternFill patternType="solid">
        <fgColor theme="1" tint="0.14999847407452621"/>
        <bgColor indexed="64"/>
      </patternFill>
    </fill>
    <fill>
      <gradientFill>
        <stop position="0">
          <color theme="1" tint="0.1490218817712943"/>
        </stop>
        <stop position="1">
          <color theme="1" tint="5.0965910824915313E-2"/>
        </stop>
      </gradientFill>
    </fill>
    <fill>
      <patternFill patternType="solid">
        <fgColor rgb="FFFAFAF8"/>
        <bgColor indexed="64"/>
      </patternFill>
    </fill>
    <fill>
      <patternFill patternType="solid">
        <fgColor theme="0" tint="-0.14999847407452621"/>
        <bgColor indexed="64"/>
      </patternFill>
    </fill>
    <fill>
      <patternFill patternType="solid">
        <fgColor theme="6" tint="-0.249977111117893"/>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bottom/>
      <diagonal/>
    </border>
    <border>
      <left/>
      <right/>
      <top/>
      <bottom style="medium">
        <color indexed="8"/>
      </bottom>
      <diagonal/>
    </border>
    <border>
      <left style="medium">
        <color indexed="8"/>
      </left>
      <right/>
      <top style="medium">
        <color indexed="8"/>
      </top>
      <bottom/>
      <diagonal/>
    </border>
    <border>
      <left/>
      <right/>
      <top style="medium">
        <color indexed="8"/>
      </top>
      <bottom/>
      <diagonal/>
    </border>
    <border>
      <left style="medium">
        <color indexed="8"/>
      </left>
      <right/>
      <top/>
      <bottom/>
      <diagonal/>
    </border>
    <border>
      <left style="medium">
        <color indexed="8"/>
      </left>
      <right/>
      <top/>
      <bottom style="medium">
        <color indexed="8"/>
      </bottom>
      <diagonal/>
    </border>
    <border>
      <left style="medium">
        <color indexed="8"/>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medium">
        <color indexed="8"/>
      </right>
      <top style="medium">
        <color indexed="8"/>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bottom/>
      <diagonal/>
    </border>
    <border>
      <left/>
      <right style="medium">
        <color indexed="8"/>
      </right>
      <top/>
      <bottom style="medium">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7">
    <xf numFmtId="0" fontId="0" fillId="0" borderId="0"/>
    <xf numFmtId="0" fontId="6" fillId="0" borderId="0"/>
    <xf numFmtId="0" fontId="38" fillId="0" borderId="0" applyNumberFormat="0" applyFill="0" applyBorder="0" applyAlignment="0" applyProtection="0">
      <alignment vertical="top"/>
      <protection locked="0"/>
    </xf>
    <xf numFmtId="0" fontId="15" fillId="0" borderId="0"/>
    <xf numFmtId="9" fontId="3" fillId="0" borderId="0" applyFill="0" applyBorder="0" applyAlignment="0" applyProtection="0"/>
    <xf numFmtId="0" fontId="7" fillId="0" borderId="0"/>
    <xf numFmtId="9" fontId="6" fillId="0" borderId="0"/>
  </cellStyleXfs>
  <cellXfs count="513">
    <xf numFmtId="0" fontId="0" fillId="0" borderId="0" xfId="0"/>
    <xf numFmtId="0" fontId="0" fillId="2" borderId="1" xfId="0" applyFill="1" applyBorder="1" applyAlignment="1">
      <alignment horizontal="center"/>
    </xf>
    <xf numFmtId="0" fontId="0" fillId="0" borderId="0" xfId="0" applyBorder="1"/>
    <xf numFmtId="0" fontId="0" fillId="0" borderId="0" xfId="0" applyFont="1" applyBorder="1" applyAlignment="1">
      <alignment horizontal="center"/>
    </xf>
    <xf numFmtId="0" fontId="39"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Border="1" applyAlignment="1">
      <alignment horizontal="center"/>
    </xf>
    <xf numFmtId="0" fontId="0" fillId="0" borderId="0" xfId="0" applyBorder="1" applyAlignment="1">
      <alignment horizontal="left"/>
    </xf>
    <xf numFmtId="0" fontId="0" fillId="0" borderId="7" xfId="0" applyBorder="1"/>
    <xf numFmtId="0" fontId="0" fillId="0" borderId="8" xfId="0" applyBorder="1"/>
    <xf numFmtId="0" fontId="0" fillId="0" borderId="9" xfId="0" applyBorder="1"/>
    <xf numFmtId="0" fontId="0" fillId="0" borderId="0" xfId="0" applyFill="1" applyBorder="1"/>
    <xf numFmtId="0" fontId="40" fillId="0" borderId="0" xfId="0" applyFont="1" applyBorder="1"/>
    <xf numFmtId="9" fontId="3" fillId="2" borderId="1" xfId="4" applyFill="1" applyBorder="1" applyAlignment="1">
      <alignment horizontal="center"/>
    </xf>
    <xf numFmtId="0" fontId="5" fillId="0" borderId="0" xfId="0" applyFont="1" applyBorder="1" applyAlignment="1">
      <alignment horizontal="right"/>
    </xf>
    <xf numFmtId="0" fontId="6" fillId="0" borderId="0" xfId="1"/>
    <xf numFmtId="0" fontId="6" fillId="5" borderId="0" xfId="1" applyFill="1"/>
    <xf numFmtId="0" fontId="5" fillId="0" borderId="0" xfId="0" applyFont="1" applyFill="1" applyBorder="1" applyAlignment="1">
      <alignment horizontal="center"/>
    </xf>
    <xf numFmtId="164" fontId="5" fillId="0" borderId="0" xfId="0" applyNumberFormat="1" applyFont="1" applyBorder="1" applyAlignment="1">
      <alignment horizontal="center"/>
    </xf>
    <xf numFmtId="0" fontId="5" fillId="0" borderId="3" xfId="0" applyFont="1" applyBorder="1" applyAlignment="1">
      <alignment horizontal="right"/>
    </xf>
    <xf numFmtId="0" fontId="0" fillId="0" borderId="3" xfId="0" applyFill="1" applyBorder="1"/>
    <xf numFmtId="164" fontId="40" fillId="0" borderId="0" xfId="0" applyNumberFormat="1" applyFont="1" applyBorder="1"/>
    <xf numFmtId="2" fontId="40" fillId="0" borderId="0" xfId="0" applyNumberFormat="1" applyFont="1" applyBorder="1"/>
    <xf numFmtId="1" fontId="40" fillId="0" borderId="0" xfId="0" applyNumberFormat="1" applyFont="1" applyBorder="1"/>
    <xf numFmtId="0" fontId="40" fillId="0" borderId="8" xfId="0" applyFont="1" applyBorder="1"/>
    <xf numFmtId="164" fontId="40" fillId="0" borderId="8" xfId="0" applyNumberFormat="1" applyFont="1" applyBorder="1"/>
    <xf numFmtId="0" fontId="4" fillId="0" borderId="5" xfId="0" applyFont="1" applyBorder="1"/>
    <xf numFmtId="0" fontId="0" fillId="6" borderId="10" xfId="0" applyFill="1" applyBorder="1"/>
    <xf numFmtId="0" fontId="0" fillId="6" borderId="11" xfId="0" applyFill="1" applyBorder="1"/>
    <xf numFmtId="0" fontId="2" fillId="0" borderId="0" xfId="0" applyFont="1" applyBorder="1" applyAlignment="1">
      <alignment horizontal="center"/>
    </xf>
    <xf numFmtId="0" fontId="2" fillId="0" borderId="0" xfId="0" applyFont="1" applyBorder="1" applyAlignment="1">
      <alignment horizontal="center" vertical="center"/>
    </xf>
    <xf numFmtId="0" fontId="2" fillId="0" borderId="0" xfId="0" applyFont="1" applyFill="1"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right"/>
    </xf>
    <xf numFmtId="0" fontId="8" fillId="0" borderId="0" xfId="0" applyFont="1" applyBorder="1"/>
    <xf numFmtId="0" fontId="0" fillId="0" borderId="0" xfId="0" applyFont="1" applyBorder="1" applyAlignment="1"/>
    <xf numFmtId="0" fontId="0" fillId="0" borderId="0" xfId="0" applyFont="1" applyBorder="1"/>
    <xf numFmtId="0" fontId="39" fillId="0" borderId="0" xfId="0" applyFont="1" applyBorder="1" applyAlignment="1">
      <alignment horizontal="left" vertical="center"/>
    </xf>
    <xf numFmtId="0" fontId="8" fillId="7" borderId="6" xfId="0" applyFont="1" applyFill="1" applyBorder="1"/>
    <xf numFmtId="0" fontId="11" fillId="0" borderId="0" xfId="0" applyFont="1" applyBorder="1" applyAlignment="1">
      <alignment horizontal="right"/>
    </xf>
    <xf numFmtId="0" fontId="8" fillId="0" borderId="0" xfId="0" applyFont="1"/>
    <xf numFmtId="0" fontId="8" fillId="0" borderId="5" xfId="0" applyFont="1" applyBorder="1"/>
    <xf numFmtId="0" fontId="8" fillId="0" borderId="0" xfId="0" applyFont="1" applyBorder="1" applyAlignment="1">
      <alignment horizontal="center"/>
    </xf>
    <xf numFmtId="0" fontId="8" fillId="0" borderId="0" xfId="0" applyFont="1" applyFill="1" applyBorder="1" applyAlignment="1">
      <alignment horizontal="center"/>
    </xf>
    <xf numFmtId="0" fontId="8" fillId="0" borderId="0" xfId="0" applyFont="1" applyFill="1" applyBorder="1"/>
    <xf numFmtId="0" fontId="8" fillId="0" borderId="7" xfId="0" applyFont="1" applyBorder="1"/>
    <xf numFmtId="10" fontId="3" fillId="2" borderId="1" xfId="4" applyNumberFormat="1" applyFill="1" applyBorder="1" applyAlignment="1">
      <alignment horizontal="center"/>
    </xf>
    <xf numFmtId="10" fontId="0" fillId="0" borderId="0" xfId="0" applyNumberFormat="1" applyBorder="1"/>
    <xf numFmtId="0" fontId="0" fillId="8" borderId="1" xfId="0" applyFill="1" applyBorder="1" applyAlignment="1">
      <alignment horizontal="center"/>
    </xf>
    <xf numFmtId="0" fontId="12" fillId="0" borderId="5" xfId="0" applyFont="1" applyBorder="1"/>
    <xf numFmtId="0" fontId="1" fillId="0" borderId="5" xfId="0" applyFont="1" applyBorder="1"/>
    <xf numFmtId="0" fontId="40" fillId="0" borderId="0" xfId="0" applyFont="1"/>
    <xf numFmtId="0" fontId="40" fillId="0" borderId="0" xfId="0" applyFont="1" applyBorder="1" applyAlignment="1">
      <alignment horizontal="right"/>
    </xf>
    <xf numFmtId="0" fontId="40" fillId="0" borderId="0" xfId="0" applyFont="1" applyBorder="1" applyAlignment="1">
      <alignment horizontal="center"/>
    </xf>
    <xf numFmtId="0" fontId="40" fillId="0" borderId="6" xfId="0" applyFont="1" applyBorder="1"/>
    <xf numFmtId="0" fontId="14" fillId="0" borderId="0" xfId="1" applyFont="1"/>
    <xf numFmtId="0" fontId="14" fillId="5" borderId="0" xfId="1" applyFont="1" applyFill="1"/>
    <xf numFmtId="0" fontId="8" fillId="0" borderId="0" xfId="0" applyFont="1" applyBorder="1" applyAlignment="1">
      <alignment horizontal="left"/>
    </xf>
    <xf numFmtId="0" fontId="2" fillId="0" borderId="0" xfId="0" applyFont="1" applyBorder="1" applyAlignment="1">
      <alignment vertical="top"/>
    </xf>
    <xf numFmtId="0" fontId="39" fillId="0" borderId="5" xfId="0" applyFont="1" applyBorder="1"/>
    <xf numFmtId="0" fontId="0" fillId="8" borderId="0" xfId="0" applyFill="1" applyBorder="1" applyAlignment="1">
      <alignment horizontal="center"/>
    </xf>
    <xf numFmtId="0" fontId="39" fillId="0" borderId="0" xfId="0" applyFont="1" applyBorder="1"/>
    <xf numFmtId="0" fontId="0" fillId="0" borderId="12" xfId="0" applyBorder="1"/>
    <xf numFmtId="0" fontId="41" fillId="0" borderId="0" xfId="1" applyFont="1"/>
    <xf numFmtId="0" fontId="39" fillId="0" borderId="0" xfId="0" applyFont="1" applyFill="1" applyBorder="1" applyAlignment="1">
      <alignment horizontal="center"/>
    </xf>
    <xf numFmtId="1" fontId="0" fillId="0" borderId="0" xfId="0" applyNumberFormat="1" applyFont="1" applyBorder="1"/>
    <xf numFmtId="0" fontId="16" fillId="0" borderId="5" xfId="3" applyFont="1" applyFill="1" applyBorder="1"/>
    <xf numFmtId="0" fontId="15" fillId="0" borderId="0" xfId="3" applyBorder="1"/>
    <xf numFmtId="0" fontId="15" fillId="0" borderId="0" xfId="3" applyBorder="1" applyAlignment="1">
      <alignment horizontal="center"/>
    </xf>
    <xf numFmtId="0" fontId="15" fillId="0" borderId="6" xfId="3" applyBorder="1"/>
    <xf numFmtId="0" fontId="15" fillId="0" borderId="0" xfId="3" applyBorder="1" applyAlignment="1">
      <alignment horizontal="right"/>
    </xf>
    <xf numFmtId="164" fontId="17" fillId="0" borderId="13" xfId="5" applyNumberFormat="1" applyFont="1" applyBorder="1" applyAlignment="1" applyProtection="1">
      <alignment horizontal="center" vertical="center"/>
    </xf>
    <xf numFmtId="0" fontId="15" fillId="0" borderId="0" xfId="3" applyFill="1" applyBorder="1" applyAlignment="1">
      <alignment horizontal="right"/>
    </xf>
    <xf numFmtId="0" fontId="15" fillId="0" borderId="14" xfId="3" applyBorder="1"/>
    <xf numFmtId="0" fontId="15" fillId="0" borderId="0" xfId="3" applyFill="1" applyBorder="1" applyAlignment="1">
      <alignment horizontal="center"/>
    </xf>
    <xf numFmtId="2" fontId="17" fillId="0" borderId="13" xfId="5" applyNumberFormat="1" applyFont="1" applyBorder="1" applyAlignment="1" applyProtection="1">
      <alignment horizontal="center" vertical="center"/>
    </xf>
    <xf numFmtId="1" fontId="0" fillId="0" borderId="5" xfId="0" applyNumberFormat="1" applyFont="1" applyBorder="1"/>
    <xf numFmtId="0" fontId="15" fillId="0" borderId="0" xfId="0" applyFont="1" applyBorder="1" applyAlignment="1" applyProtection="1">
      <alignment vertical="center"/>
    </xf>
    <xf numFmtId="0" fontId="15" fillId="0" borderId="0" xfId="0" applyFont="1" applyBorder="1" applyAlignment="1" applyProtection="1">
      <alignment horizontal="center" vertical="center"/>
    </xf>
    <xf numFmtId="0" fontId="0" fillId="0" borderId="0" xfId="0" applyBorder="1" applyAlignment="1" applyProtection="1">
      <alignment vertical="center"/>
    </xf>
    <xf numFmtId="2" fontId="18" fillId="0" borderId="15" xfId="5" applyNumberFormat="1" applyFont="1" applyBorder="1" applyAlignment="1" applyProtection="1">
      <alignment horizontal="center" vertical="center"/>
    </xf>
    <xf numFmtId="1" fontId="0" fillId="0" borderId="8" xfId="0" applyNumberFormat="1" applyFont="1" applyBorder="1"/>
    <xf numFmtId="0" fontId="15" fillId="0" borderId="0" xfId="0" applyFont="1" applyBorder="1" applyAlignment="1">
      <alignment horizontal="center"/>
    </xf>
    <xf numFmtId="164" fontId="17" fillId="0" borderId="0" xfId="5" applyNumberFormat="1" applyFont="1" applyBorder="1" applyAlignment="1" applyProtection="1">
      <alignment horizontal="center" vertical="center"/>
    </xf>
    <xf numFmtId="0" fontId="42" fillId="0" borderId="0" xfId="0" applyFont="1" applyBorder="1" applyAlignment="1">
      <alignment horizontal="left" vertical="center"/>
    </xf>
    <xf numFmtId="1" fontId="17" fillId="0" borderId="13" xfId="5" applyNumberFormat="1" applyFont="1" applyBorder="1" applyAlignment="1" applyProtection="1">
      <alignment horizontal="center" vertical="center"/>
    </xf>
    <xf numFmtId="0" fontId="39" fillId="0" borderId="0" xfId="0" applyFont="1" applyBorder="1" applyAlignment="1">
      <alignment horizontal="right"/>
    </xf>
    <xf numFmtId="0" fontId="39" fillId="0" borderId="0" xfId="0" applyFont="1" applyBorder="1" applyAlignment="1">
      <alignment horizontal="center"/>
    </xf>
    <xf numFmtId="0" fontId="19" fillId="0" borderId="5" xfId="0" applyFont="1" applyBorder="1"/>
    <xf numFmtId="0" fontId="15" fillId="0" borderId="0" xfId="3" applyFill="1" applyBorder="1" applyAlignment="1">
      <alignment horizontal="left"/>
    </xf>
    <xf numFmtId="0" fontId="16" fillId="10" borderId="2" xfId="3" applyFont="1" applyFill="1" applyBorder="1" applyAlignment="1">
      <alignment horizontal="right"/>
    </xf>
    <xf numFmtId="0" fontId="15" fillId="0" borderId="5" xfId="3" applyFill="1" applyBorder="1" applyAlignment="1">
      <alignment horizontal="center"/>
    </xf>
    <xf numFmtId="164" fontId="17" fillId="0" borderId="17" xfId="5" applyNumberFormat="1" applyFont="1" applyBorder="1" applyAlignment="1" applyProtection="1">
      <alignment horizontal="center" vertical="center"/>
    </xf>
    <xf numFmtId="0" fontId="16" fillId="10" borderId="3" xfId="3" applyFont="1" applyFill="1" applyBorder="1" applyAlignment="1">
      <alignment horizontal="left"/>
    </xf>
    <xf numFmtId="166" fontId="17" fillId="0" borderId="13" xfId="5" applyNumberFormat="1" applyFont="1" applyBorder="1" applyAlignment="1" applyProtection="1">
      <alignment horizontal="center" vertical="center"/>
    </xf>
    <xf numFmtId="0" fontId="15" fillId="0" borderId="6" xfId="3" applyFill="1" applyBorder="1" applyAlignment="1">
      <alignment horizontal="center"/>
    </xf>
    <xf numFmtId="0" fontId="15" fillId="0" borderId="6" xfId="3" applyFill="1" applyBorder="1" applyAlignment="1">
      <alignment horizontal="left"/>
    </xf>
    <xf numFmtId="0" fontId="15" fillId="0" borderId="3" xfId="3" applyFill="1" applyBorder="1" applyAlignment="1">
      <alignment horizontal="left"/>
    </xf>
    <xf numFmtId="0" fontId="40" fillId="0" borderId="5" xfId="0" applyFont="1" applyBorder="1"/>
    <xf numFmtId="0" fontId="8" fillId="0" borderId="6" xfId="0" applyFont="1" applyBorder="1"/>
    <xf numFmtId="0" fontId="38" fillId="0" borderId="5" xfId="2" applyBorder="1" applyAlignment="1" applyProtection="1"/>
    <xf numFmtId="2" fontId="39" fillId="0" borderId="0" xfId="0" applyNumberFormat="1" applyFont="1" applyBorder="1" applyAlignment="1">
      <alignment horizontal="center"/>
    </xf>
    <xf numFmtId="0" fontId="15" fillId="0" borderId="13" xfId="3" applyFill="1" applyBorder="1" applyAlignment="1">
      <alignment horizontal="center"/>
    </xf>
    <xf numFmtId="0" fontId="0" fillId="0" borderId="13" xfId="0" applyBorder="1"/>
    <xf numFmtId="2" fontId="15" fillId="0" borderId="13" xfId="3" applyNumberFormat="1" applyFill="1" applyBorder="1" applyAlignment="1">
      <alignment horizontal="center"/>
    </xf>
    <xf numFmtId="9" fontId="3" fillId="0" borderId="13" xfId="4" applyBorder="1" applyAlignment="1" applyProtection="1">
      <alignment horizontal="center" vertical="center"/>
    </xf>
    <xf numFmtId="0" fontId="0" fillId="0" borderId="19" xfId="0" applyBorder="1"/>
    <xf numFmtId="0" fontId="0" fillId="0" borderId="14" xfId="0" applyBorder="1"/>
    <xf numFmtId="0" fontId="0" fillId="0" borderId="21" xfId="0" applyBorder="1"/>
    <xf numFmtId="0" fontId="39" fillId="0" borderId="0" xfId="0" applyFont="1" applyFill="1" applyBorder="1"/>
    <xf numFmtId="0" fontId="39" fillId="0" borderId="0" xfId="0" applyFont="1" applyBorder="1" applyAlignment="1">
      <alignment horizontal="left"/>
    </xf>
    <xf numFmtId="0" fontId="15" fillId="0" borderId="22" xfId="3" applyFill="1" applyBorder="1" applyAlignment="1">
      <alignment horizontal="center"/>
    </xf>
    <xf numFmtId="0" fontId="15" fillId="0" borderId="22" xfId="3" applyFill="1" applyBorder="1" applyAlignment="1">
      <alignment horizontal="right"/>
    </xf>
    <xf numFmtId="0" fontId="0" fillId="0" borderId="23" xfId="0" applyBorder="1"/>
    <xf numFmtId="0" fontId="2" fillId="0" borderId="23" xfId="0" applyFont="1" applyBorder="1" applyAlignment="1"/>
    <xf numFmtId="0" fontId="1" fillId="0" borderId="0" xfId="0" applyFont="1" applyBorder="1"/>
    <xf numFmtId="0" fontId="43" fillId="0" borderId="0" xfId="0" applyFont="1" applyBorder="1"/>
    <xf numFmtId="0" fontId="43" fillId="0" borderId="0" xfId="0" applyFont="1" applyBorder="1" applyAlignment="1">
      <alignment horizontal="center"/>
    </xf>
    <xf numFmtId="164" fontId="20" fillId="0" borderId="13" xfId="5" applyNumberFormat="1" applyFont="1" applyBorder="1" applyAlignment="1" applyProtection="1">
      <alignment horizontal="center" vertical="center"/>
    </xf>
    <xf numFmtId="164" fontId="0" fillId="0" borderId="13" xfId="0" applyNumberFormat="1" applyBorder="1"/>
    <xf numFmtId="0" fontId="1" fillId="0" borderId="0" xfId="0" applyFont="1" applyBorder="1" applyAlignment="1"/>
    <xf numFmtId="0" fontId="1" fillId="0" borderId="0" xfId="0" applyFont="1" applyBorder="1" applyAlignment="1">
      <alignment horizontal="right"/>
    </xf>
    <xf numFmtId="0" fontId="15" fillId="0" borderId="12" xfId="3" applyBorder="1"/>
    <xf numFmtId="0" fontId="0" fillId="0" borderId="25" xfId="0" applyBorder="1"/>
    <xf numFmtId="0" fontId="19" fillId="0" borderId="5" xfId="0" applyFont="1" applyBorder="1" applyAlignment="1">
      <alignment horizontal="right"/>
    </xf>
    <xf numFmtId="0" fontId="19" fillId="0" borderId="0" xfId="0" applyFont="1" applyBorder="1" applyAlignment="1">
      <alignment horizontal="right"/>
    </xf>
    <xf numFmtId="0" fontId="19" fillId="0" borderId="0" xfId="0" applyFont="1" applyFill="1" applyBorder="1" applyAlignment="1">
      <alignment horizontal="right"/>
    </xf>
    <xf numFmtId="0" fontId="0" fillId="0" borderId="26" xfId="0" applyFont="1" applyBorder="1" applyAlignment="1">
      <alignment vertical="center"/>
    </xf>
    <xf numFmtId="0" fontId="0" fillId="0" borderId="0" xfId="0" applyFont="1" applyBorder="1" applyAlignment="1">
      <alignment vertical="center"/>
    </xf>
    <xf numFmtId="0" fontId="0" fillId="0" borderId="6" xfId="0" applyFont="1" applyBorder="1"/>
    <xf numFmtId="0" fontId="0" fillId="0" borderId="26" xfId="0" applyFont="1" applyBorder="1" applyAlignment="1">
      <alignment vertical="top"/>
    </xf>
    <xf numFmtId="0" fontId="8" fillId="8" borderId="1" xfId="0" applyFont="1" applyFill="1" applyBorder="1" applyAlignment="1">
      <alignment horizontal="center"/>
    </xf>
    <xf numFmtId="0" fontId="40" fillId="0" borderId="0" xfId="0" applyFont="1" applyFill="1" applyBorder="1" applyAlignment="1">
      <alignment horizontal="center"/>
    </xf>
    <xf numFmtId="0" fontId="1" fillId="0" borderId="6" xfId="0" applyFont="1" applyBorder="1" applyAlignment="1">
      <alignment horizontal="right"/>
    </xf>
    <xf numFmtId="0" fontId="21" fillId="0" borderId="0" xfId="0" applyFont="1" applyBorder="1" applyAlignment="1">
      <alignment horizontal="center"/>
    </xf>
    <xf numFmtId="164" fontId="0" fillId="11" borderId="0" xfId="0" applyNumberFormat="1" applyFill="1" applyBorder="1" applyAlignment="1">
      <alignment horizontal="center"/>
    </xf>
    <xf numFmtId="0" fontId="0" fillId="8" borderId="1" xfId="0" applyFont="1" applyFill="1" applyBorder="1" applyAlignment="1">
      <alignment horizontal="center"/>
    </xf>
    <xf numFmtId="0" fontId="0" fillId="2" borderId="16" xfId="0" applyFill="1" applyBorder="1" applyAlignment="1">
      <alignment horizontal="center"/>
    </xf>
    <xf numFmtId="0" fontId="0" fillId="7" borderId="0" xfId="0" applyFill="1" applyBorder="1" applyAlignment="1">
      <alignment horizontal="center"/>
    </xf>
    <xf numFmtId="0" fontId="40" fillId="7" borderId="0" xfId="0" applyFont="1" applyFill="1" applyBorder="1" applyAlignment="1"/>
    <xf numFmtId="0" fontId="0" fillId="7" borderId="0" xfId="0" applyFill="1" applyBorder="1" applyAlignment="1"/>
    <xf numFmtId="0" fontId="0" fillId="7" borderId="0" xfId="0" applyFill="1" applyBorder="1"/>
    <xf numFmtId="164" fontId="3" fillId="8" borderId="1" xfId="4" applyNumberFormat="1" applyFill="1" applyBorder="1" applyAlignment="1">
      <alignment horizontal="center"/>
    </xf>
    <xf numFmtId="0" fontId="12" fillId="0" borderId="7" xfId="0" applyFont="1" applyBorder="1"/>
    <xf numFmtId="0" fontId="2" fillId="0" borderId="8" xfId="0" applyFont="1" applyBorder="1" applyAlignment="1">
      <alignment vertical="top"/>
    </xf>
    <xf numFmtId="0" fontId="0" fillId="12" borderId="16" xfId="0" applyFill="1" applyBorder="1" applyAlignment="1" applyProtection="1">
      <alignment horizontal="center"/>
      <protection locked="0"/>
    </xf>
    <xf numFmtId="0" fontId="0" fillId="12" borderId="1" xfId="0" applyFill="1" applyBorder="1" applyAlignment="1" applyProtection="1">
      <alignment horizontal="center"/>
      <protection locked="0"/>
    </xf>
    <xf numFmtId="0" fontId="0" fillId="12" borderId="13" xfId="0" applyFill="1" applyBorder="1" applyAlignment="1" applyProtection="1">
      <alignment horizontal="center"/>
      <protection locked="0"/>
    </xf>
    <xf numFmtId="1" fontId="0" fillId="12" borderId="1" xfId="0" applyNumberFormat="1" applyFill="1" applyBorder="1" applyAlignment="1" applyProtection="1">
      <alignment horizontal="center"/>
      <protection locked="0"/>
    </xf>
    <xf numFmtId="1" fontId="8" fillId="12" borderId="1" xfId="0" applyNumberFormat="1" applyFont="1" applyFill="1" applyBorder="1" applyAlignment="1" applyProtection="1">
      <alignment horizontal="center"/>
      <protection locked="0"/>
    </xf>
    <xf numFmtId="0" fontId="0" fillId="8" borderId="1" xfId="0" applyFill="1" applyBorder="1" applyAlignment="1" applyProtection="1">
      <alignment horizontal="center"/>
      <protection locked="0"/>
    </xf>
    <xf numFmtId="165" fontId="3" fillId="12" borderId="1" xfId="4" applyNumberFormat="1" applyFont="1" applyFill="1" applyBorder="1" applyAlignment="1" applyProtection="1">
      <alignment horizontal="center"/>
      <protection locked="0"/>
    </xf>
    <xf numFmtId="164" fontId="17" fillId="0" borderId="13" xfId="5" applyNumberFormat="1" applyFont="1" applyBorder="1" applyAlignment="1" applyProtection="1">
      <alignment horizontal="center" vertical="center"/>
      <protection locked="0"/>
    </xf>
    <xf numFmtId="0" fontId="22" fillId="3" borderId="0" xfId="1" applyFont="1" applyFill="1"/>
    <xf numFmtId="0" fontId="6" fillId="3" borderId="0" xfId="1" applyFill="1"/>
    <xf numFmtId="0" fontId="6" fillId="3" borderId="0" xfId="1" applyFill="1" applyAlignment="1">
      <alignment horizontal="center"/>
    </xf>
    <xf numFmtId="0" fontId="6" fillId="3" borderId="0" xfId="1" applyFill="1" applyBorder="1"/>
    <xf numFmtId="0" fontId="23" fillId="3" borderId="0" xfId="1" applyFont="1" applyFill="1" applyBorder="1"/>
    <xf numFmtId="0" fontId="6" fillId="3" borderId="0" xfId="1" applyFill="1" applyBorder="1" applyAlignment="1">
      <alignment horizontal="center"/>
    </xf>
    <xf numFmtId="0" fontId="6" fillId="3" borderId="27" xfId="1" applyFill="1" applyBorder="1"/>
    <xf numFmtId="0" fontId="23" fillId="3" borderId="27" xfId="1" applyFont="1" applyFill="1" applyBorder="1"/>
    <xf numFmtId="0" fontId="6" fillId="3" borderId="28" xfId="1" applyFill="1" applyBorder="1"/>
    <xf numFmtId="0" fontId="6" fillId="3" borderId="29" xfId="1" applyFill="1" applyBorder="1"/>
    <xf numFmtId="0" fontId="6" fillId="3" borderId="30" xfId="1" applyFill="1" applyBorder="1"/>
    <xf numFmtId="0" fontId="23" fillId="3" borderId="0" xfId="1" applyFont="1" applyFill="1"/>
    <xf numFmtId="0" fontId="24" fillId="3" borderId="0" xfId="2" applyNumberFormat="1" applyFont="1" applyFill="1" applyBorder="1" applyAlignment="1" applyProtection="1"/>
    <xf numFmtId="0" fontId="6" fillId="3" borderId="0" xfId="1" applyFill="1" applyBorder="1" applyAlignment="1">
      <alignment horizontal="left" vertical="top" wrapText="1"/>
    </xf>
    <xf numFmtId="0" fontId="6" fillId="3" borderId="31" xfId="1" applyFill="1" applyBorder="1"/>
    <xf numFmtId="0" fontId="24" fillId="3" borderId="27" xfId="2" applyNumberFormat="1" applyFont="1" applyFill="1" applyBorder="1" applyAlignment="1" applyProtection="1"/>
    <xf numFmtId="0" fontId="6" fillId="0" borderId="32" xfId="1" applyFill="1" applyBorder="1"/>
    <xf numFmtId="0" fontId="6" fillId="3" borderId="2" xfId="1" applyFill="1" applyBorder="1"/>
    <xf numFmtId="0" fontId="6" fillId="3" borderId="3" xfId="1" applyFill="1" applyBorder="1"/>
    <xf numFmtId="0" fontId="6" fillId="3" borderId="5" xfId="1" applyFill="1" applyBorder="1"/>
    <xf numFmtId="0" fontId="6" fillId="3" borderId="8" xfId="1" applyFill="1" applyBorder="1"/>
    <xf numFmtId="0" fontId="6" fillId="3" borderId="0" xfId="1" applyFill="1" applyAlignment="1">
      <alignment horizontal="center" vertical="top"/>
    </xf>
    <xf numFmtId="0" fontId="6" fillId="3" borderId="0" xfId="1" applyFill="1" applyAlignment="1">
      <alignment vertical="top"/>
    </xf>
    <xf numFmtId="0" fontId="6" fillId="3" borderId="0" xfId="1" applyFill="1" applyBorder="1" applyAlignment="1">
      <alignment horizontal="left"/>
    </xf>
    <xf numFmtId="0" fontId="38" fillId="0" borderId="0" xfId="2" applyBorder="1" applyAlignment="1" applyProtection="1">
      <alignment horizontal="center"/>
    </xf>
    <xf numFmtId="9" fontId="17" fillId="0" borderId="13" xfId="5" applyNumberFormat="1" applyFont="1" applyBorder="1" applyAlignment="1" applyProtection="1">
      <alignment horizontal="center" vertical="center"/>
      <protection locked="0"/>
    </xf>
    <xf numFmtId="0" fontId="19" fillId="0" borderId="0" xfId="0" applyFont="1" applyBorder="1"/>
    <xf numFmtId="0" fontId="0" fillId="13" borderId="33" xfId="0" applyFill="1" applyBorder="1" applyAlignment="1" applyProtection="1">
      <alignment vertical="center"/>
      <protection locked="0"/>
    </xf>
    <xf numFmtId="0" fontId="22" fillId="3" borderId="7" xfId="1" applyFont="1" applyFill="1" applyBorder="1"/>
    <xf numFmtId="0" fontId="22" fillId="3" borderId="8" xfId="1" applyFont="1" applyFill="1" applyBorder="1"/>
    <xf numFmtId="0" fontId="6" fillId="0" borderId="0" xfId="1" applyProtection="1">
      <protection locked="0"/>
    </xf>
    <xf numFmtId="0" fontId="15" fillId="0" borderId="8" xfId="3" applyBorder="1" applyAlignment="1" applyProtection="1">
      <alignment vertical="center"/>
      <protection locked="0"/>
    </xf>
    <xf numFmtId="0" fontId="8" fillId="7" borderId="0" xfId="0" applyFont="1" applyFill="1" applyBorder="1" applyAlignment="1"/>
    <xf numFmtId="0" fontId="25" fillId="0" borderId="0" xfId="0" applyFont="1" applyBorder="1" applyAlignment="1">
      <alignment horizontal="right"/>
    </xf>
    <xf numFmtId="0" fontId="0" fillId="0" borderId="13" xfId="0" applyBorder="1" applyAlignment="1">
      <alignment horizontal="right"/>
    </xf>
    <xf numFmtId="164" fontId="17" fillId="0" borderId="0" xfId="5" applyNumberFormat="1" applyFont="1" applyBorder="1" applyAlignment="1" applyProtection="1">
      <alignment horizontal="center" vertical="center"/>
      <protection locked="0"/>
    </xf>
    <xf numFmtId="1" fontId="17" fillId="0" borderId="0" xfId="5" applyNumberFormat="1" applyFont="1" applyBorder="1" applyAlignment="1" applyProtection="1">
      <alignment horizontal="center" vertical="center"/>
    </xf>
    <xf numFmtId="2" fontId="17" fillId="0" borderId="0" xfId="5" applyNumberFormat="1" applyFont="1" applyBorder="1" applyAlignment="1" applyProtection="1">
      <alignment horizontal="center" vertical="center"/>
    </xf>
    <xf numFmtId="9" fontId="0" fillId="0" borderId="13" xfId="0" applyNumberFormat="1" applyBorder="1" applyAlignment="1">
      <alignment horizontal="right"/>
    </xf>
    <xf numFmtId="0" fontId="0" fillId="0" borderId="0" xfId="0" applyBorder="1" applyAlignment="1"/>
    <xf numFmtId="0" fontId="26" fillId="0" borderId="0" xfId="0" applyFont="1" applyBorder="1"/>
    <xf numFmtId="0" fontId="1" fillId="0" borderId="33" xfId="0" applyFont="1" applyBorder="1"/>
    <xf numFmtId="0" fontId="0" fillId="0" borderId="34" xfId="0" applyBorder="1"/>
    <xf numFmtId="0" fontId="15" fillId="0" borderId="34" xfId="3" applyBorder="1"/>
    <xf numFmtId="0" fontId="0" fillId="0" borderId="22" xfId="0" applyBorder="1"/>
    <xf numFmtId="0" fontId="15" fillId="0" borderId="0" xfId="3" applyBorder="1" applyAlignment="1" applyProtection="1">
      <alignment vertical="center" wrapText="1"/>
      <protection locked="0"/>
    </xf>
    <xf numFmtId="0" fontId="16" fillId="0" borderId="18" xfId="3" applyFont="1" applyFill="1" applyBorder="1"/>
    <xf numFmtId="0" fontId="15" fillId="0" borderId="19" xfId="3" applyBorder="1"/>
    <xf numFmtId="0" fontId="15" fillId="0" borderId="18" xfId="3" applyBorder="1" applyAlignment="1">
      <alignment horizontal="right"/>
    </xf>
    <xf numFmtId="0" fontId="16" fillId="0" borderId="20" xfId="3" applyFont="1" applyFill="1" applyBorder="1"/>
    <xf numFmtId="0" fontId="15" fillId="0" borderId="21" xfId="3" applyBorder="1"/>
    <xf numFmtId="0" fontId="0" fillId="0" borderId="35" xfId="0" applyBorder="1" applyAlignment="1"/>
    <xf numFmtId="0" fontId="16" fillId="0" borderId="0" xfId="3" applyFont="1" applyBorder="1"/>
    <xf numFmtId="1" fontId="43" fillId="0" borderId="0" xfId="0" applyNumberFormat="1" applyFont="1" applyBorder="1" applyAlignment="1">
      <alignment vertical="top"/>
    </xf>
    <xf numFmtId="0" fontId="28" fillId="0" borderId="13" xfId="0" applyFont="1" applyBorder="1" applyAlignment="1" applyProtection="1">
      <alignment horizontal="center"/>
      <protection locked="0"/>
    </xf>
    <xf numFmtId="0" fontId="28" fillId="0" borderId="13" xfId="0" applyFont="1" applyBorder="1" applyProtection="1">
      <protection locked="0"/>
    </xf>
    <xf numFmtId="2" fontId="28" fillId="14" borderId="13" xfId="0" applyNumberFormat="1" applyFont="1" applyFill="1" applyBorder="1" applyAlignment="1" applyProtection="1">
      <alignment horizontal="center"/>
      <protection locked="0"/>
    </xf>
    <xf numFmtId="2" fontId="28" fillId="0" borderId="13" xfId="0" applyNumberFormat="1" applyFont="1" applyBorder="1" applyAlignment="1" applyProtection="1">
      <alignment horizontal="center"/>
      <protection locked="0"/>
    </xf>
    <xf numFmtId="165" fontId="28" fillId="0" borderId="13" xfId="4" applyNumberFormat="1" applyFont="1" applyBorder="1" applyAlignment="1" applyProtection="1">
      <alignment horizontal="center"/>
      <protection locked="0"/>
    </xf>
    <xf numFmtId="0" fontId="27" fillId="0" borderId="0" xfId="0" applyFont="1"/>
    <xf numFmtId="0" fontId="27" fillId="0" borderId="0" xfId="0" applyFont="1" applyAlignment="1">
      <alignment horizontal="center"/>
    </xf>
    <xf numFmtId="0" fontId="44" fillId="0" borderId="0" xfId="0" applyFont="1"/>
    <xf numFmtId="0" fontId="29" fillId="0" borderId="0" xfId="0" applyFont="1"/>
    <xf numFmtId="0" fontId="44" fillId="0" borderId="0" xfId="0" applyFont="1" applyProtection="1">
      <protection locked="0"/>
    </xf>
    <xf numFmtId="0" fontId="44" fillId="0" borderId="0" xfId="0" applyFont="1" applyBorder="1" applyProtection="1">
      <protection locked="0"/>
    </xf>
    <xf numFmtId="9" fontId="29" fillId="0" borderId="0" xfId="0" applyNumberFormat="1" applyFont="1"/>
    <xf numFmtId="0" fontId="44" fillId="0" borderId="0" xfId="0" applyFont="1" applyBorder="1" applyAlignment="1" applyProtection="1">
      <alignment horizontal="left"/>
      <protection locked="0"/>
    </xf>
    <xf numFmtId="0" fontId="29" fillId="0" borderId="0" xfId="0" applyFont="1" applyBorder="1"/>
    <xf numFmtId="0" fontId="44" fillId="0" borderId="0" xfId="0" applyFont="1" applyFill="1" applyBorder="1" applyProtection="1">
      <protection locked="0"/>
    </xf>
    <xf numFmtId="1" fontId="29" fillId="0" borderId="0" xfId="0" applyNumberFormat="1" applyFont="1" applyBorder="1"/>
    <xf numFmtId="0" fontId="29" fillId="0" borderId="0" xfId="0" applyFont="1" applyFill="1" applyBorder="1"/>
    <xf numFmtId="0" fontId="44" fillId="0" borderId="0" xfId="0" applyFont="1" applyBorder="1"/>
    <xf numFmtId="0" fontId="45" fillId="0" borderId="0" xfId="0" applyFont="1" applyFill="1" applyBorder="1"/>
    <xf numFmtId="0" fontId="45" fillId="0" borderId="0" xfId="0" applyFont="1" applyBorder="1"/>
    <xf numFmtId="0" fontId="45" fillId="0" borderId="0" xfId="0" applyFont="1"/>
    <xf numFmtId="0" fontId="44" fillId="0" borderId="0" xfId="0" applyFont="1" applyFill="1" applyBorder="1" applyAlignment="1" applyProtection="1">
      <alignment horizontal="left"/>
      <protection locked="0"/>
    </xf>
    <xf numFmtId="0" fontId="46" fillId="0" borderId="0" xfId="0" applyFont="1"/>
    <xf numFmtId="0" fontId="45" fillId="0" borderId="0" xfId="0" applyFont="1" applyProtection="1">
      <protection locked="0"/>
    </xf>
    <xf numFmtId="0" fontId="27" fillId="15" borderId="13" xfId="0" applyFont="1" applyFill="1" applyBorder="1" applyAlignment="1">
      <alignment horizontal="center" vertical="center" wrapText="1"/>
    </xf>
    <xf numFmtId="0" fontId="27" fillId="0" borderId="0" xfId="0" applyFont="1" applyAlignment="1">
      <alignment horizontal="center" vertical="center" wrapText="1"/>
    </xf>
    <xf numFmtId="0" fontId="30" fillId="3" borderId="0" xfId="1" applyFont="1" applyFill="1"/>
    <xf numFmtId="0" fontId="30" fillId="3" borderId="0" xfId="1" applyFont="1" applyFill="1" applyAlignment="1">
      <alignment horizontal="center"/>
    </xf>
    <xf numFmtId="0" fontId="30" fillId="3" borderId="0" xfId="1" applyFont="1" applyFill="1" applyBorder="1"/>
    <xf numFmtId="0" fontId="30" fillId="3" borderId="0" xfId="1" applyFont="1" applyFill="1" applyBorder="1" applyAlignment="1">
      <alignment horizontal="center"/>
    </xf>
    <xf numFmtId="0" fontId="30" fillId="3" borderId="27" xfId="1" applyFont="1" applyFill="1" applyBorder="1"/>
    <xf numFmtId="0" fontId="30" fillId="3" borderId="27" xfId="1" applyFont="1" applyFill="1" applyBorder="1" applyAlignment="1">
      <alignment horizontal="center"/>
    </xf>
    <xf numFmtId="0" fontId="30" fillId="3" borderId="29" xfId="1" applyFont="1" applyFill="1" applyBorder="1"/>
    <xf numFmtId="0" fontId="30" fillId="3" borderId="29" xfId="1" applyFont="1" applyFill="1" applyBorder="1" applyAlignment="1">
      <alignment horizontal="center"/>
    </xf>
    <xf numFmtId="0" fontId="30" fillId="3" borderId="36" xfId="1" applyFont="1" applyFill="1" applyBorder="1" applyAlignment="1">
      <alignment horizontal="center"/>
    </xf>
    <xf numFmtId="0" fontId="30" fillId="3" borderId="37" xfId="1" applyFont="1" applyFill="1" applyBorder="1" applyAlignment="1">
      <alignment horizontal="center"/>
    </xf>
    <xf numFmtId="0" fontId="30" fillId="3" borderId="0" xfId="1" applyFont="1" applyFill="1" applyBorder="1" applyAlignment="1">
      <alignment horizontal="left" wrapText="1"/>
    </xf>
    <xf numFmtId="0" fontId="30" fillId="3" borderId="37" xfId="1" applyFont="1" applyFill="1" applyBorder="1" applyAlignment="1">
      <alignment horizontal="left" wrapText="1"/>
    </xf>
    <xf numFmtId="0" fontId="30" fillId="3" borderId="0" xfId="1" applyFont="1" applyFill="1" applyBorder="1" applyAlignment="1"/>
    <xf numFmtId="0" fontId="30" fillId="3" borderId="37" xfId="1" applyFont="1" applyFill="1" applyBorder="1" applyAlignment="1"/>
    <xf numFmtId="0" fontId="47" fillId="3" borderId="0" xfId="2" applyFont="1" applyFill="1" applyBorder="1" applyAlignment="1" applyProtection="1"/>
    <xf numFmtId="0" fontId="30" fillId="3" borderId="0" xfId="1" applyFont="1" applyFill="1" applyBorder="1" applyAlignment="1">
      <alignment horizontal="left"/>
    </xf>
    <xf numFmtId="164" fontId="31" fillId="4" borderId="38" xfId="1" applyNumberFormat="1" applyFont="1" applyFill="1" applyBorder="1" applyAlignment="1" applyProtection="1">
      <alignment vertical="top"/>
    </xf>
    <xf numFmtId="164" fontId="32" fillId="16" borderId="39" xfId="1" applyNumberFormat="1" applyFont="1" applyFill="1" applyBorder="1" applyAlignment="1" applyProtection="1">
      <alignment horizontal="center" vertical="top"/>
    </xf>
    <xf numFmtId="0" fontId="32" fillId="17" borderId="37" xfId="1" applyFont="1" applyFill="1" applyBorder="1" applyAlignment="1">
      <alignment horizontal="center"/>
    </xf>
    <xf numFmtId="0" fontId="30" fillId="3" borderId="37" xfId="1" applyFont="1" applyFill="1" applyBorder="1" applyAlignment="1">
      <alignment horizontal="left"/>
    </xf>
    <xf numFmtId="0" fontId="33" fillId="3" borderId="0" xfId="1" applyFont="1" applyFill="1" applyBorder="1" applyAlignment="1">
      <alignment horizontal="left"/>
    </xf>
    <xf numFmtId="0" fontId="47" fillId="3" borderId="0" xfId="2" applyFont="1" applyFill="1" applyBorder="1" applyAlignment="1" applyProtection="1">
      <alignment horizontal="left"/>
    </xf>
    <xf numFmtId="0" fontId="30" fillId="3" borderId="0" xfId="1" applyFont="1" applyFill="1" applyBorder="1" applyAlignment="1">
      <alignment horizontal="left" vertical="top" wrapText="1"/>
    </xf>
    <xf numFmtId="0" fontId="30" fillId="3" borderId="37" xfId="1" applyFont="1" applyFill="1" applyBorder="1" applyAlignment="1">
      <alignment horizontal="left" vertical="top" wrapText="1"/>
    </xf>
    <xf numFmtId="0" fontId="30" fillId="3" borderId="0" xfId="1" applyFont="1" applyFill="1" applyBorder="1" applyAlignment="1">
      <alignment horizontal="left" vertical="top"/>
    </xf>
    <xf numFmtId="0" fontId="47" fillId="3" borderId="0" xfId="2" applyFont="1" applyFill="1" applyBorder="1" applyAlignment="1" applyProtection="1">
      <alignment horizontal="left" vertical="top"/>
      <protection locked="0"/>
    </xf>
    <xf numFmtId="0" fontId="33" fillId="3" borderId="0" xfId="1" applyFont="1" applyFill="1" applyBorder="1" applyAlignment="1">
      <alignment horizontal="left" vertical="top"/>
    </xf>
    <xf numFmtId="0" fontId="30" fillId="3" borderId="40" xfId="1" applyFont="1" applyFill="1" applyBorder="1" applyAlignment="1">
      <alignment horizontal="center"/>
    </xf>
    <xf numFmtId="0" fontId="30" fillId="3" borderId="3" xfId="1" applyFont="1" applyFill="1" applyBorder="1"/>
    <xf numFmtId="0" fontId="30" fillId="3" borderId="3" xfId="1" applyFont="1" applyFill="1" applyBorder="1" applyAlignment="1">
      <alignment horizontal="center"/>
    </xf>
    <xf numFmtId="0" fontId="30" fillId="3" borderId="4" xfId="1" applyFont="1" applyFill="1" applyBorder="1" applyAlignment="1">
      <alignment horizontal="center"/>
    </xf>
    <xf numFmtId="0" fontId="30" fillId="3" borderId="6" xfId="1" applyFont="1" applyFill="1" applyBorder="1" applyAlignment="1">
      <alignment horizontal="center"/>
    </xf>
    <xf numFmtId="0" fontId="30" fillId="3" borderId="8" xfId="1" applyFont="1" applyFill="1" applyBorder="1"/>
    <xf numFmtId="0" fontId="30" fillId="3" borderId="8" xfId="1" applyFont="1" applyFill="1" applyBorder="1" applyAlignment="1">
      <alignment horizontal="center"/>
    </xf>
    <xf numFmtId="0" fontId="30" fillId="3" borderId="9" xfId="1" applyFont="1" applyFill="1" applyBorder="1" applyAlignment="1">
      <alignment horizontal="center"/>
    </xf>
    <xf numFmtId="0" fontId="30" fillId="3" borderId="0" xfId="1" applyFont="1" applyFill="1" applyBorder="1" applyAlignment="1">
      <alignment vertical="center"/>
    </xf>
    <xf numFmtId="0" fontId="30" fillId="3" borderId="0" xfId="1" applyFont="1" applyFill="1" applyBorder="1" applyAlignment="1">
      <alignment horizontal="center" vertical="center"/>
    </xf>
    <xf numFmtId="0" fontId="30" fillId="3" borderId="37" xfId="1" applyFont="1" applyFill="1" applyBorder="1" applyAlignment="1">
      <alignment horizontal="center" vertical="center"/>
    </xf>
    <xf numFmtId="0" fontId="30" fillId="3" borderId="0" xfId="1" applyFont="1" applyFill="1" applyBorder="1" applyAlignment="1">
      <alignment horizontal="left" vertical="center" wrapText="1"/>
    </xf>
    <xf numFmtId="0" fontId="30" fillId="3" borderId="37" xfId="1" applyFont="1" applyFill="1" applyBorder="1" applyAlignment="1">
      <alignment horizontal="left" vertical="center" wrapText="1"/>
    </xf>
    <xf numFmtId="0" fontId="30" fillId="3" borderId="0" xfId="1" applyFont="1" applyFill="1" applyBorder="1" applyAlignment="1">
      <alignment vertical="center" wrapText="1"/>
    </xf>
    <xf numFmtId="0" fontId="30" fillId="3" borderId="37" xfId="1" applyFont="1" applyFill="1" applyBorder="1" applyAlignment="1">
      <alignment vertical="center" wrapText="1"/>
    </xf>
    <xf numFmtId="164" fontId="31" fillId="4" borderId="38" xfId="1" applyNumberFormat="1" applyFont="1" applyFill="1" applyBorder="1" applyAlignment="1" applyProtection="1">
      <alignment horizontal="center" vertical="top"/>
    </xf>
    <xf numFmtId="0" fontId="48" fillId="0" borderId="0" xfId="0" applyFont="1" applyBorder="1" applyAlignment="1">
      <alignment horizontal="center"/>
    </xf>
    <xf numFmtId="0" fontId="49" fillId="0" borderId="0" xfId="2" applyFont="1" applyBorder="1" applyAlignment="1" applyProtection="1"/>
    <xf numFmtId="0" fontId="49" fillId="0" borderId="0" xfId="2" applyFont="1" applyBorder="1" applyAlignment="1" applyProtection="1">
      <alignment horizontal="left"/>
    </xf>
    <xf numFmtId="0" fontId="38" fillId="3" borderId="0" xfId="2" applyFill="1" applyAlignment="1" applyProtection="1"/>
    <xf numFmtId="0" fontId="50" fillId="18" borderId="0" xfId="2" applyFont="1" applyFill="1" applyAlignment="1" applyProtection="1"/>
    <xf numFmtId="0" fontId="27" fillId="18" borderId="0" xfId="0" applyFont="1" applyFill="1"/>
    <xf numFmtId="0" fontId="24" fillId="3" borderId="0" xfId="2" applyNumberFormat="1" applyFont="1" applyFill="1" applyBorder="1" applyAlignment="1" applyProtection="1">
      <alignment horizontal="left" vertical="top"/>
    </xf>
    <xf numFmtId="0" fontId="30" fillId="3" borderId="0" xfId="1" applyFont="1" applyFill="1" applyBorder="1" applyAlignment="1">
      <alignment horizontal="right"/>
    </xf>
    <xf numFmtId="0" fontId="40" fillId="19" borderId="0" xfId="0" applyFont="1" applyFill="1" applyAlignment="1"/>
    <xf numFmtId="0" fontId="8" fillId="19" borderId="0" xfId="0" applyFont="1" applyFill="1" applyBorder="1"/>
    <xf numFmtId="0" fontId="40" fillId="19" borderId="0" xfId="0" applyFont="1" applyFill="1" applyBorder="1" applyAlignment="1"/>
    <xf numFmtId="0" fontId="40" fillId="19" borderId="0" xfId="0" applyFont="1" applyFill="1" applyBorder="1"/>
    <xf numFmtId="164" fontId="32" fillId="16" borderId="39" xfId="1" applyNumberFormat="1" applyFont="1" applyFill="1" applyBorder="1" applyAlignment="1" applyProtection="1">
      <alignment horizontal="center" vertical="center"/>
    </xf>
    <xf numFmtId="0" fontId="8" fillId="13" borderId="1" xfId="0" applyFont="1" applyFill="1" applyBorder="1" applyAlignment="1" applyProtection="1">
      <alignment horizontal="center" vertical="center"/>
      <protection locked="0"/>
    </xf>
    <xf numFmtId="0" fontId="24" fillId="3" borderId="0" xfId="2" applyNumberFormat="1" applyFont="1" applyFill="1" applyBorder="1" applyAlignment="1" applyProtection="1">
      <alignment wrapText="1"/>
    </xf>
    <xf numFmtId="0" fontId="6" fillId="3" borderId="8" xfId="1" applyFill="1" applyBorder="1" applyAlignment="1">
      <alignment horizontal="left" vertical="top" wrapText="1"/>
    </xf>
    <xf numFmtId="0" fontId="30" fillId="3" borderId="8" xfId="1" applyFont="1" applyFill="1" applyBorder="1" applyAlignment="1">
      <alignment horizontal="left" vertical="top" wrapText="1"/>
    </xf>
    <xf numFmtId="0" fontId="30" fillId="3" borderId="9" xfId="1" applyFont="1" applyFill="1" applyBorder="1" applyAlignment="1">
      <alignment horizontal="left" vertical="top" wrapText="1"/>
    </xf>
    <xf numFmtId="0" fontId="37" fillId="0" borderId="0" xfId="0" applyFont="1" applyBorder="1"/>
    <xf numFmtId="0" fontId="5" fillId="0" borderId="0" xfId="0" applyFont="1" applyBorder="1"/>
    <xf numFmtId="164" fontId="17" fillId="20" borderId="13" xfId="5" applyNumberFormat="1" applyFont="1" applyFill="1" applyBorder="1" applyAlignment="1" applyProtection="1">
      <alignment horizontal="center" vertical="center"/>
      <protection locked="0"/>
    </xf>
    <xf numFmtId="9" fontId="18" fillId="0" borderId="15" xfId="5" applyNumberFormat="1" applyFont="1" applyBorder="1" applyAlignment="1" applyProtection="1">
      <alignment horizontal="center" vertical="center"/>
    </xf>
    <xf numFmtId="0" fontId="39" fillId="0" borderId="5" xfId="0" applyFont="1" applyBorder="1" applyAlignment="1">
      <alignment vertical="center"/>
    </xf>
    <xf numFmtId="0" fontId="39" fillId="0" borderId="0" xfId="0" applyFont="1" applyBorder="1" applyAlignment="1">
      <alignment vertical="center"/>
    </xf>
    <xf numFmtId="0" fontId="0" fillId="0" borderId="0" xfId="0" applyAlignment="1">
      <alignment vertical="top"/>
    </xf>
    <xf numFmtId="0" fontId="0" fillId="0" borderId="34" xfId="0" applyBorder="1" applyAlignment="1">
      <alignment vertical="top"/>
    </xf>
    <xf numFmtId="0" fontId="0" fillId="0" borderId="22" xfId="0" applyBorder="1" applyAlignment="1">
      <alignment vertical="top"/>
    </xf>
    <xf numFmtId="0" fontId="51" fillId="0" borderId="34" xfId="2" applyFont="1" applyBorder="1" applyAlignment="1" applyProtection="1">
      <alignment vertical="top"/>
    </xf>
    <xf numFmtId="0" fontId="38" fillId="3" borderId="0" xfId="2" applyFill="1" applyBorder="1" applyAlignment="1" applyProtection="1">
      <alignment horizontal="left"/>
    </xf>
    <xf numFmtId="0" fontId="52" fillId="3" borderId="0" xfId="1" applyFont="1" applyFill="1" applyBorder="1" applyAlignment="1">
      <alignment horizontal="left"/>
    </xf>
    <xf numFmtId="9" fontId="40" fillId="0" borderId="0" xfId="0" applyNumberFormat="1" applyFont="1"/>
    <xf numFmtId="164" fontId="40" fillId="0" borderId="0" xfId="0" applyNumberFormat="1" applyFont="1"/>
    <xf numFmtId="9" fontId="40" fillId="0" borderId="0" xfId="4" applyFont="1"/>
    <xf numFmtId="0" fontId="40" fillId="0" borderId="0" xfId="0" applyFont="1" applyAlignment="1"/>
    <xf numFmtId="2" fontId="40" fillId="0" borderId="0" xfId="0" applyNumberFormat="1" applyFont="1"/>
    <xf numFmtId="0" fontId="54" fillId="0" borderId="0" xfId="0" applyFont="1" applyBorder="1" applyAlignment="1">
      <alignment horizontal="right"/>
    </xf>
    <xf numFmtId="0" fontId="56" fillId="0" borderId="0" xfId="3" applyFont="1" applyFill="1" applyBorder="1" applyAlignment="1">
      <alignment horizontal="center"/>
    </xf>
    <xf numFmtId="0" fontId="0" fillId="0" borderId="0" xfId="0" applyBorder="1" applyAlignment="1">
      <alignment horizontal="left" wrapText="1"/>
    </xf>
    <xf numFmtId="0" fontId="0" fillId="0" borderId="0" xfId="0" applyBorder="1" applyAlignment="1">
      <alignment horizontal="right"/>
    </xf>
    <xf numFmtId="0" fontId="0" fillId="0" borderId="0" xfId="0" applyBorder="1" applyAlignment="1">
      <alignment horizontal="center"/>
    </xf>
    <xf numFmtId="0" fontId="60" fillId="24" borderId="13" xfId="0" applyFont="1" applyFill="1" applyBorder="1" applyAlignment="1">
      <alignment horizontal="left" vertical="center" indent="3"/>
    </xf>
    <xf numFmtId="0" fontId="61" fillId="25" borderId="33" xfId="0" applyFont="1" applyFill="1" applyBorder="1" applyAlignment="1">
      <alignment vertical="center"/>
    </xf>
    <xf numFmtId="0" fontId="61" fillId="25" borderId="34" xfId="0" applyFont="1" applyFill="1" applyBorder="1" applyAlignment="1">
      <alignment vertical="center"/>
    </xf>
    <xf numFmtId="0" fontId="61" fillId="25" borderId="22" xfId="0" applyFont="1" applyFill="1" applyBorder="1" applyAlignment="1">
      <alignment vertical="center"/>
    </xf>
    <xf numFmtId="0" fontId="25" fillId="5" borderId="26" xfId="0" applyFont="1" applyFill="1" applyBorder="1" applyAlignment="1">
      <alignment vertical="center"/>
    </xf>
    <xf numFmtId="0" fontId="25" fillId="5" borderId="0" xfId="0" applyFont="1" applyFill="1" applyBorder="1" applyAlignment="1">
      <alignment vertical="center"/>
    </xf>
    <xf numFmtId="0" fontId="25" fillId="5" borderId="0" xfId="0" applyFont="1" applyFill="1" applyBorder="1"/>
    <xf numFmtId="0" fontId="25" fillId="5" borderId="26" xfId="0" applyFont="1" applyFill="1" applyBorder="1" applyAlignment="1">
      <alignment vertical="top"/>
    </xf>
    <xf numFmtId="0" fontId="17" fillId="8" borderId="1" xfId="0" applyFont="1" applyFill="1" applyBorder="1" applyAlignment="1">
      <alignment horizontal="center"/>
    </xf>
    <xf numFmtId="9" fontId="17" fillId="8" borderId="1" xfId="4" applyFont="1" applyFill="1" applyBorder="1" applyAlignment="1">
      <alignment horizontal="center"/>
    </xf>
    <xf numFmtId="10" fontId="17" fillId="8" borderId="1" xfId="4" applyNumberFormat="1" applyFont="1" applyFill="1" applyBorder="1" applyAlignment="1">
      <alignment horizontal="center"/>
    </xf>
    <xf numFmtId="0" fontId="0" fillId="27" borderId="0" xfId="0" applyFill="1" applyBorder="1"/>
    <xf numFmtId="0" fontId="0" fillId="27" borderId="5" xfId="0" applyFill="1" applyBorder="1"/>
    <xf numFmtId="0" fontId="67" fillId="0" borderId="0" xfId="0" applyFont="1" applyBorder="1"/>
    <xf numFmtId="0" fontId="67" fillId="0" borderId="0" xfId="0" applyFont="1" applyBorder="1" applyAlignment="1">
      <alignment horizontal="right"/>
    </xf>
    <xf numFmtId="0" fontId="68" fillId="7" borderId="6" xfId="0" applyFont="1" applyFill="1" applyBorder="1"/>
    <xf numFmtId="0" fontId="17" fillId="0" borderId="0" xfId="0" applyFont="1" applyBorder="1" applyAlignment="1">
      <alignment vertical="center"/>
    </xf>
    <xf numFmtId="0" fontId="17" fillId="0" borderId="0" xfId="0" applyFont="1" applyBorder="1" applyAlignment="1">
      <alignment horizontal="right" vertical="center"/>
    </xf>
    <xf numFmtId="0" fontId="15" fillId="0" borderId="5" xfId="0" applyFont="1" applyBorder="1" applyAlignment="1">
      <alignment vertical="top" wrapText="1"/>
    </xf>
    <xf numFmtId="0" fontId="15" fillId="0" borderId="0" xfId="0" applyFont="1" applyBorder="1" applyAlignment="1">
      <alignment vertical="top" wrapText="1"/>
    </xf>
    <xf numFmtId="0" fontId="0" fillId="26" borderId="5" xfId="0" applyFill="1" applyBorder="1"/>
    <xf numFmtId="0" fontId="0" fillId="26" borderId="0" xfId="0" applyFill="1" applyBorder="1"/>
    <xf numFmtId="0" fontId="39" fillId="26" borderId="6" xfId="0" applyFont="1" applyFill="1" applyBorder="1" applyAlignment="1">
      <alignment vertical="center" wrapText="1"/>
    </xf>
    <xf numFmtId="0" fontId="39" fillId="26" borderId="0" xfId="0" applyFont="1" applyFill="1" applyBorder="1" applyAlignment="1">
      <alignment vertical="center" wrapText="1"/>
    </xf>
    <xf numFmtId="0" fontId="0" fillId="26" borderId="7" xfId="0" applyFill="1" applyBorder="1"/>
    <xf numFmtId="0" fontId="0" fillId="26" borderId="8" xfId="0" applyFill="1" applyBorder="1"/>
    <xf numFmtId="0" fontId="0" fillId="26" borderId="9" xfId="0" applyFill="1" applyBorder="1"/>
    <xf numFmtId="0" fontId="0" fillId="27" borderId="6" xfId="0" applyFill="1" applyBorder="1"/>
    <xf numFmtId="0" fontId="67" fillId="27" borderId="0" xfId="0" applyFont="1" applyFill="1" applyBorder="1" applyAlignment="1">
      <alignment horizontal="center"/>
    </xf>
    <xf numFmtId="0" fontId="4" fillId="26" borderId="5" xfId="0" applyFont="1" applyFill="1" applyBorder="1"/>
    <xf numFmtId="0" fontId="0" fillId="26" borderId="0" xfId="0" applyFont="1" applyFill="1" applyBorder="1" applyAlignment="1">
      <alignment horizontal="center"/>
    </xf>
    <xf numFmtId="0" fontId="0" fillId="26" borderId="6" xfId="0" applyFill="1" applyBorder="1"/>
    <xf numFmtId="0" fontId="0" fillId="26" borderId="0" xfId="0" applyFill="1" applyBorder="1" applyAlignment="1">
      <alignment horizontal="right"/>
    </xf>
    <xf numFmtId="0" fontId="0" fillId="26" borderId="0" xfId="0" applyFont="1" applyFill="1" applyBorder="1" applyAlignment="1">
      <alignment horizontal="left"/>
    </xf>
    <xf numFmtId="0" fontId="17" fillId="26" borderId="0" xfId="0" applyFont="1" applyFill="1" applyBorder="1" applyAlignment="1">
      <alignment horizontal="right"/>
    </xf>
    <xf numFmtId="0" fontId="17" fillId="26" borderId="0" xfId="0" applyFont="1" applyFill="1" applyBorder="1"/>
    <xf numFmtId="0" fontId="66" fillId="26" borderId="0" xfId="0" applyFont="1" applyFill="1" applyBorder="1" applyAlignment="1">
      <alignment horizontal="left" vertical="center" indent="1"/>
    </xf>
    <xf numFmtId="0" fontId="0" fillId="26" borderId="0" xfId="0" applyFill="1" applyBorder="1" applyAlignment="1">
      <alignment horizontal="left"/>
    </xf>
    <xf numFmtId="0" fontId="66" fillId="26" borderId="0" xfId="0" applyFont="1" applyFill="1" applyBorder="1" applyAlignment="1">
      <alignment horizontal="left" indent="1"/>
    </xf>
    <xf numFmtId="2" fontId="0" fillId="8" borderId="13" xfId="0" applyNumberFormat="1" applyFill="1" applyBorder="1" applyAlignment="1">
      <alignment horizontal="center"/>
    </xf>
    <xf numFmtId="9" fontId="3" fillId="8" borderId="13" xfId="4" applyFill="1" applyBorder="1" applyAlignment="1">
      <alignment horizontal="center"/>
    </xf>
    <xf numFmtId="10" fontId="3" fillId="8" borderId="13" xfId="4" applyNumberFormat="1" applyFill="1" applyBorder="1" applyAlignment="1">
      <alignment horizontal="center"/>
    </xf>
    <xf numFmtId="0" fontId="0" fillId="8" borderId="13" xfId="0" applyFill="1" applyBorder="1" applyAlignment="1">
      <alignment horizontal="center"/>
    </xf>
    <xf numFmtId="164" fontId="3" fillId="8" borderId="13" xfId="4" applyNumberFormat="1" applyFill="1" applyBorder="1" applyAlignment="1">
      <alignment horizontal="center"/>
    </xf>
    <xf numFmtId="164" fontId="3" fillId="2" borderId="13" xfId="4" applyNumberFormat="1" applyFill="1" applyBorder="1" applyAlignment="1">
      <alignment horizontal="center"/>
    </xf>
    <xf numFmtId="0" fontId="48" fillId="7" borderId="0" xfId="0" applyFont="1" applyFill="1" applyBorder="1" applyAlignment="1">
      <alignment horizontal="left" vertical="center" indent="1"/>
    </xf>
    <xf numFmtId="0" fontId="48" fillId="7" borderId="0" xfId="0" applyFont="1" applyFill="1" applyBorder="1" applyAlignment="1">
      <alignment horizontal="left" indent="1"/>
    </xf>
    <xf numFmtId="0" fontId="48" fillId="0" borderId="0" xfId="0" applyFont="1" applyBorder="1" applyAlignment="1">
      <alignment horizontal="left" vertical="center" indent="1"/>
    </xf>
    <xf numFmtId="0" fontId="48" fillId="0" borderId="0" xfId="0" applyFont="1" applyBorder="1" applyAlignment="1">
      <alignment horizontal="left" indent="1"/>
    </xf>
    <xf numFmtId="0" fontId="72" fillId="3" borderId="0" xfId="1" applyFont="1" applyFill="1" applyBorder="1" applyAlignment="1">
      <alignment horizontal="left"/>
    </xf>
    <xf numFmtId="0" fontId="57" fillId="5" borderId="11" xfId="0" applyFont="1" applyFill="1" applyBorder="1" applyAlignment="1">
      <alignment horizontal="left" vertical="center"/>
    </xf>
    <xf numFmtId="0" fontId="58" fillId="5" borderId="11" xfId="0" applyFont="1" applyFill="1" applyBorder="1"/>
    <xf numFmtId="0" fontId="58" fillId="5" borderId="44" xfId="0" applyFont="1" applyFill="1" applyBorder="1"/>
    <xf numFmtId="0" fontId="38" fillId="22" borderId="51" xfId="2" applyFill="1" applyBorder="1" applyAlignment="1" applyProtection="1">
      <alignment horizontal="center" vertical="center"/>
    </xf>
    <xf numFmtId="0" fontId="38" fillId="28" borderId="51" xfId="2" applyFill="1" applyBorder="1" applyAlignment="1" applyProtection="1">
      <alignment horizontal="center" vertical="center"/>
    </xf>
    <xf numFmtId="0" fontId="59" fillId="9" borderId="52" xfId="1" applyFont="1" applyFill="1" applyBorder="1" applyAlignment="1">
      <alignment horizontal="center" vertical="center" wrapText="1"/>
    </xf>
    <xf numFmtId="0" fontId="59" fillId="9" borderId="54" xfId="1" applyFont="1" applyFill="1" applyBorder="1" applyAlignment="1">
      <alignment horizontal="center" vertical="center" wrapText="1"/>
    </xf>
    <xf numFmtId="0" fontId="60" fillId="24" borderId="43" xfId="0" applyFont="1" applyFill="1" applyBorder="1" applyAlignment="1">
      <alignment horizontal="left" vertical="center" indent="3"/>
    </xf>
    <xf numFmtId="0" fontId="61" fillId="25" borderId="20" xfId="0" applyFont="1" applyFill="1" applyBorder="1" applyAlignment="1">
      <alignment vertical="center"/>
    </xf>
    <xf numFmtId="0" fontId="61" fillId="25" borderId="14" xfId="0" applyFont="1" applyFill="1" applyBorder="1" applyAlignment="1">
      <alignment vertical="center"/>
    </xf>
    <xf numFmtId="0" fontId="61" fillId="25" borderId="21" xfId="0" applyFont="1" applyFill="1" applyBorder="1" applyAlignment="1">
      <alignment vertical="center"/>
    </xf>
    <xf numFmtId="0" fontId="60" fillId="24" borderId="48" xfId="0" applyFont="1" applyFill="1" applyBorder="1" applyAlignment="1">
      <alignment horizontal="left" vertical="center" indent="3"/>
    </xf>
    <xf numFmtId="0" fontId="61" fillId="25" borderId="50" xfId="0" applyFont="1" applyFill="1" applyBorder="1" applyAlignment="1">
      <alignment vertical="center"/>
    </xf>
    <xf numFmtId="0" fontId="61" fillId="25" borderId="49" xfId="0" applyFont="1" applyFill="1" applyBorder="1" applyAlignment="1">
      <alignment vertical="center"/>
    </xf>
    <xf numFmtId="0" fontId="61" fillId="25" borderId="55" xfId="0" applyFont="1" applyFill="1" applyBorder="1" applyAlignment="1">
      <alignment vertical="center"/>
    </xf>
    <xf numFmtId="0" fontId="61" fillId="25" borderId="56" xfId="0" applyFont="1" applyFill="1" applyBorder="1" applyAlignment="1">
      <alignment vertical="center"/>
    </xf>
    <xf numFmtId="0" fontId="68" fillId="7" borderId="0" xfId="0" applyFont="1" applyFill="1" applyBorder="1" applyAlignment="1">
      <alignment vertical="center"/>
    </xf>
    <xf numFmtId="0" fontId="0" fillId="0" borderId="0" xfId="0" applyBorder="1" applyAlignment="1">
      <alignment horizontal="center"/>
    </xf>
    <xf numFmtId="0" fontId="0" fillId="0" borderId="0" xfId="0" applyBorder="1" applyAlignment="1">
      <alignment horizontal="center"/>
    </xf>
    <xf numFmtId="0" fontId="0" fillId="0" borderId="19" xfId="0" applyBorder="1" applyAlignment="1">
      <alignment horizontal="center"/>
    </xf>
    <xf numFmtId="0" fontId="13" fillId="6" borderId="24" xfId="0" applyFont="1" applyFill="1" applyBorder="1" applyAlignment="1" applyProtection="1">
      <alignment horizontal="center"/>
      <protection locked="0"/>
    </xf>
    <xf numFmtId="0" fontId="13" fillId="6" borderId="12" xfId="0" applyFont="1" applyFill="1" applyBorder="1" applyAlignment="1" applyProtection="1">
      <alignment horizontal="center"/>
      <protection locked="0"/>
    </xf>
    <xf numFmtId="0" fontId="13" fillId="6" borderId="25" xfId="0" applyFont="1" applyFill="1" applyBorder="1" applyAlignment="1" applyProtection="1">
      <alignment horizontal="center"/>
      <protection locked="0"/>
    </xf>
    <xf numFmtId="10" fontId="8" fillId="13" borderId="45" xfId="0" applyNumberFormat="1" applyFont="1" applyFill="1" applyBorder="1" applyAlignment="1" applyProtection="1">
      <alignment horizontal="center"/>
      <protection locked="0"/>
    </xf>
    <xf numFmtId="10" fontId="8" fillId="13" borderId="46" xfId="0" applyNumberFormat="1" applyFont="1" applyFill="1" applyBorder="1" applyAlignment="1" applyProtection="1">
      <alignment horizontal="center"/>
      <protection locked="0"/>
    </xf>
    <xf numFmtId="10" fontId="8" fillId="13" borderId="47" xfId="0" applyNumberFormat="1" applyFont="1" applyFill="1" applyBorder="1" applyAlignment="1" applyProtection="1">
      <alignment horizontal="center"/>
      <protection locked="0"/>
    </xf>
    <xf numFmtId="0" fontId="0" fillId="0" borderId="35" xfId="0" applyBorder="1" applyAlignment="1">
      <alignment horizontal="center"/>
    </xf>
    <xf numFmtId="0" fontId="0" fillId="13" borderId="33" xfId="0" applyFill="1" applyBorder="1" applyAlignment="1" applyProtection="1">
      <alignment horizontal="center"/>
      <protection locked="0"/>
    </xf>
    <xf numFmtId="0" fontId="0" fillId="13" borderId="34" xfId="0" applyFill="1" applyBorder="1" applyAlignment="1" applyProtection="1">
      <alignment horizontal="center"/>
      <protection locked="0"/>
    </xf>
    <xf numFmtId="0" fontId="0" fillId="13" borderId="22" xfId="0" applyFill="1" applyBorder="1" applyAlignment="1" applyProtection="1">
      <alignment horizontal="center"/>
      <protection locked="0"/>
    </xf>
    <xf numFmtId="0" fontId="0" fillId="0" borderId="33" xfId="0" applyBorder="1" applyAlignment="1">
      <alignment horizontal="left" vertical="top" wrapText="1"/>
    </xf>
    <xf numFmtId="0" fontId="0" fillId="0" borderId="34" xfId="0" applyBorder="1" applyAlignment="1">
      <alignment horizontal="left" vertical="top" wrapText="1"/>
    </xf>
    <xf numFmtId="0" fontId="0" fillId="0" borderId="33" xfId="0" applyBorder="1" applyAlignment="1">
      <alignment horizontal="center" vertical="top" wrapText="1"/>
    </xf>
    <xf numFmtId="0" fontId="0" fillId="0" borderId="34" xfId="0" applyBorder="1" applyAlignment="1">
      <alignment horizontal="center" vertical="top" wrapText="1"/>
    </xf>
    <xf numFmtId="0" fontId="0" fillId="0" borderId="22" xfId="0" applyBorder="1" applyAlignment="1">
      <alignment horizontal="center" vertical="top" wrapText="1"/>
    </xf>
    <xf numFmtId="0" fontId="0" fillId="0" borderId="26" xfId="0" applyFont="1" applyBorder="1" applyAlignment="1">
      <alignment horizontal="left" vertical="center"/>
    </xf>
    <xf numFmtId="0" fontId="0" fillId="0" borderId="0" xfId="0" applyFont="1" applyBorder="1" applyAlignment="1">
      <alignment horizontal="left" vertical="center"/>
    </xf>
    <xf numFmtId="0" fontId="0" fillId="0" borderId="6" xfId="0" applyFont="1" applyBorder="1" applyAlignment="1">
      <alignment horizontal="left" vertical="center"/>
    </xf>
    <xf numFmtId="0" fontId="0" fillId="18" borderId="0" xfId="0" applyFill="1" applyBorder="1" applyAlignment="1">
      <alignment horizontal="center"/>
    </xf>
    <xf numFmtId="0" fontId="16" fillId="10" borderId="2" xfId="3" applyFont="1" applyFill="1" applyBorder="1" applyAlignment="1">
      <alignment horizontal="center"/>
    </xf>
    <xf numFmtId="0" fontId="16" fillId="10" borderId="3" xfId="3" applyFont="1" applyFill="1" applyBorder="1" applyAlignment="1">
      <alignment horizontal="center"/>
    </xf>
    <xf numFmtId="0" fontId="13" fillId="6" borderId="2" xfId="0" applyFont="1" applyFill="1" applyBorder="1" applyAlignment="1">
      <alignment horizontal="center"/>
    </xf>
    <xf numFmtId="0" fontId="13" fillId="6" borderId="3" xfId="0" applyFont="1" applyFill="1" applyBorder="1" applyAlignment="1">
      <alignment horizontal="center"/>
    </xf>
    <xf numFmtId="0" fontId="13" fillId="6" borderId="4" xfId="0" applyFont="1" applyFill="1" applyBorder="1" applyAlignment="1">
      <alignment horizontal="center"/>
    </xf>
    <xf numFmtId="0" fontId="0" fillId="22" borderId="0" xfId="0" applyFill="1" applyBorder="1" applyAlignment="1">
      <alignment horizontal="center"/>
    </xf>
    <xf numFmtId="0" fontId="55" fillId="19" borderId="0" xfId="2" applyFont="1" applyFill="1" applyBorder="1" applyAlignment="1" applyProtection="1">
      <alignment horizontal="center"/>
    </xf>
    <xf numFmtId="0" fontId="8" fillId="0" borderId="5" xfId="0" applyFont="1" applyBorder="1" applyAlignment="1">
      <alignment horizontal="left" vertical="top" wrapText="1"/>
    </xf>
    <xf numFmtId="0" fontId="8" fillId="0" borderId="0" xfId="0" applyFont="1" applyBorder="1" applyAlignment="1">
      <alignment horizontal="left" vertical="top" wrapText="1"/>
    </xf>
    <xf numFmtId="0" fontId="0" fillId="0" borderId="0" xfId="0" applyBorder="1" applyAlignment="1">
      <alignment horizontal="left" wrapText="1"/>
    </xf>
    <xf numFmtId="0" fontId="0" fillId="11" borderId="33" xfId="0" applyFill="1" applyBorder="1" applyAlignment="1" applyProtection="1">
      <alignment horizontal="left"/>
      <protection locked="0"/>
    </xf>
    <xf numFmtId="0" fontId="0" fillId="11" borderId="34" xfId="0" applyFill="1" applyBorder="1" applyAlignment="1" applyProtection="1">
      <alignment horizontal="left"/>
      <protection locked="0"/>
    </xf>
    <xf numFmtId="0" fontId="0" fillId="11" borderId="22" xfId="0" applyFill="1" applyBorder="1" applyAlignment="1" applyProtection="1">
      <alignment horizontal="left"/>
      <protection locked="0"/>
    </xf>
    <xf numFmtId="0" fontId="25" fillId="5" borderId="0" xfId="0" applyFont="1" applyFill="1" applyBorder="1" applyAlignment="1">
      <alignment horizontal="left" vertical="center" wrapText="1"/>
    </xf>
    <xf numFmtId="0" fontId="0" fillId="13" borderId="33" xfId="0" applyFill="1" applyBorder="1" applyAlignment="1" applyProtection="1">
      <alignment horizontal="center" vertical="center"/>
      <protection locked="0"/>
    </xf>
    <xf numFmtId="0" fontId="0" fillId="13" borderId="34" xfId="0" applyFill="1" applyBorder="1" applyAlignment="1" applyProtection="1">
      <alignment horizontal="center" vertical="center"/>
      <protection locked="0"/>
    </xf>
    <xf numFmtId="0" fontId="0" fillId="13" borderId="22" xfId="0" applyFill="1" applyBorder="1" applyAlignment="1" applyProtection="1">
      <alignment horizontal="center" vertical="center"/>
      <protection locked="0"/>
    </xf>
    <xf numFmtId="9" fontId="67" fillId="7" borderId="33" xfId="4" applyFont="1" applyFill="1" applyBorder="1" applyAlignment="1">
      <alignment horizontal="center" vertical="center"/>
    </xf>
    <xf numFmtId="9" fontId="67" fillId="7" borderId="34" xfId="4" applyFont="1" applyFill="1" applyBorder="1" applyAlignment="1">
      <alignment horizontal="center" vertical="center"/>
    </xf>
    <xf numFmtId="9" fontId="67" fillId="7" borderId="22" xfId="4" applyFont="1" applyFill="1" applyBorder="1" applyAlignment="1">
      <alignment horizontal="center" vertical="center"/>
    </xf>
    <xf numFmtId="0" fontId="39" fillId="26" borderId="0" xfId="0" applyFont="1" applyFill="1" applyBorder="1" applyAlignment="1">
      <alignment horizontal="center" vertical="center" wrapText="1"/>
    </xf>
    <xf numFmtId="0" fontId="39" fillId="26" borderId="8" xfId="0" applyFont="1" applyFill="1" applyBorder="1" applyAlignment="1">
      <alignment horizontal="center" vertical="center" wrapText="1"/>
    </xf>
    <xf numFmtId="0" fontId="25" fillId="5" borderId="26" xfId="0" applyFont="1" applyFill="1" applyBorder="1" applyAlignment="1">
      <alignment horizontal="left" vertical="center"/>
    </xf>
    <xf numFmtId="0" fontId="25" fillId="5" borderId="0" xfId="0" applyFont="1" applyFill="1" applyBorder="1" applyAlignment="1">
      <alignment horizontal="left" vertical="center"/>
    </xf>
    <xf numFmtId="0" fontId="53" fillId="0" borderId="33" xfId="2" applyFont="1" applyBorder="1" applyAlignment="1" applyProtection="1">
      <alignment horizontal="center" vertical="center"/>
    </xf>
    <xf numFmtId="0" fontId="53" fillId="0" borderId="34" xfId="2" applyFont="1" applyBorder="1" applyAlignment="1" applyProtection="1">
      <alignment horizontal="center" vertical="center"/>
    </xf>
    <xf numFmtId="0" fontId="53" fillId="0" borderId="22" xfId="2" applyFont="1" applyBorder="1" applyAlignment="1" applyProtection="1">
      <alignment horizontal="center" vertical="center"/>
    </xf>
    <xf numFmtId="9" fontId="64" fillId="21" borderId="41" xfId="4" applyFont="1" applyFill="1" applyBorder="1" applyAlignment="1">
      <alignment horizontal="center" vertical="center"/>
    </xf>
    <xf numFmtId="9" fontId="64" fillId="21" borderId="42" xfId="4" applyFont="1" applyFill="1" applyBorder="1" applyAlignment="1">
      <alignment horizontal="center" vertical="center"/>
    </xf>
    <xf numFmtId="9" fontId="64" fillId="21" borderId="43" xfId="4" applyFont="1" applyFill="1" applyBorder="1" applyAlignment="1">
      <alignment horizontal="center" vertical="center"/>
    </xf>
    <xf numFmtId="2" fontId="64" fillId="23" borderId="41" xfId="4" applyNumberFormat="1" applyFont="1" applyFill="1" applyBorder="1" applyAlignment="1">
      <alignment horizontal="center" vertical="center"/>
    </xf>
    <xf numFmtId="2" fontId="64" fillId="23" borderId="42" xfId="4" applyNumberFormat="1" applyFont="1" applyFill="1" applyBorder="1" applyAlignment="1">
      <alignment horizontal="center" vertical="center"/>
    </xf>
    <xf numFmtId="2" fontId="64" fillId="23" borderId="43" xfId="4" applyNumberFormat="1" applyFont="1" applyFill="1" applyBorder="1" applyAlignment="1">
      <alignment horizontal="center" vertical="center"/>
    </xf>
    <xf numFmtId="0" fontId="0" fillId="13" borderId="33" xfId="0" applyFill="1" applyBorder="1" applyAlignment="1" applyProtection="1">
      <alignment horizontal="center" vertical="center" wrapText="1"/>
      <protection locked="0"/>
    </xf>
    <xf numFmtId="0" fontId="0" fillId="13" borderId="34" xfId="0" applyFill="1" applyBorder="1" applyAlignment="1" applyProtection="1">
      <alignment horizontal="center" vertical="center" wrapText="1"/>
      <protection locked="0"/>
    </xf>
    <xf numFmtId="0" fontId="0" fillId="13" borderId="22" xfId="0" applyFill="1" applyBorder="1" applyAlignment="1" applyProtection="1">
      <alignment horizontal="center" vertical="center" wrapText="1"/>
      <protection locked="0"/>
    </xf>
    <xf numFmtId="166" fontId="70" fillId="7" borderId="33" xfId="0" applyNumberFormat="1" applyFont="1" applyFill="1" applyBorder="1" applyAlignment="1">
      <alignment horizontal="center" vertical="center"/>
    </xf>
    <xf numFmtId="166" fontId="70" fillId="7" borderId="34" xfId="0" applyNumberFormat="1" applyFont="1" applyFill="1" applyBorder="1" applyAlignment="1">
      <alignment horizontal="center" vertical="center"/>
    </xf>
    <xf numFmtId="166" fontId="70" fillId="7" borderId="22" xfId="0" applyNumberFormat="1" applyFont="1" applyFill="1" applyBorder="1" applyAlignment="1">
      <alignment horizontal="center" vertical="center"/>
    </xf>
    <xf numFmtId="0" fontId="62" fillId="5" borderId="33" xfId="2" applyFont="1" applyFill="1" applyBorder="1" applyAlignment="1" applyProtection="1">
      <alignment horizontal="center"/>
    </xf>
    <xf numFmtId="0" fontId="62" fillId="5" borderId="34" xfId="2" applyFont="1" applyFill="1" applyBorder="1" applyAlignment="1" applyProtection="1">
      <alignment horizontal="center"/>
    </xf>
    <xf numFmtId="0" fontId="62" fillId="5" borderId="22" xfId="2" applyFont="1" applyFill="1" applyBorder="1" applyAlignment="1" applyProtection="1">
      <alignment horizontal="center"/>
    </xf>
    <xf numFmtId="0" fontId="63" fillId="0" borderId="5" xfId="0" applyFont="1" applyBorder="1" applyAlignment="1">
      <alignment horizontal="center" vertical="center"/>
    </xf>
    <xf numFmtId="0" fontId="63" fillId="0" borderId="0" xfId="0" applyFont="1" applyBorder="1" applyAlignment="1">
      <alignment horizontal="center" vertical="center"/>
    </xf>
    <xf numFmtId="0" fontId="63" fillId="0" borderId="6" xfId="0" applyFont="1" applyBorder="1" applyAlignment="1">
      <alignment horizontal="center" vertical="center"/>
    </xf>
    <xf numFmtId="0" fontId="0" fillId="0" borderId="0" xfId="0" applyBorder="1" applyAlignment="1">
      <alignment horizontal="right"/>
    </xf>
    <xf numFmtId="2" fontId="69" fillId="7" borderId="33" xfId="0" applyNumberFormat="1" applyFont="1" applyFill="1" applyBorder="1" applyAlignment="1">
      <alignment horizontal="center" vertical="center"/>
    </xf>
    <xf numFmtId="2" fontId="69" fillId="7" borderId="34" xfId="0" applyNumberFormat="1" applyFont="1" applyFill="1" applyBorder="1" applyAlignment="1">
      <alignment horizontal="center" vertical="center"/>
    </xf>
    <xf numFmtId="2" fontId="69" fillId="7" borderId="22" xfId="0" applyNumberFormat="1" applyFont="1" applyFill="1" applyBorder="1" applyAlignment="1">
      <alignment horizontal="center" vertical="center"/>
    </xf>
    <xf numFmtId="0" fontId="0" fillId="0" borderId="11" xfId="0" applyBorder="1" applyAlignment="1" applyProtection="1">
      <alignment horizontal="center"/>
      <protection locked="0"/>
    </xf>
    <xf numFmtId="0" fontId="0" fillId="0" borderId="44" xfId="0" applyBorder="1" applyAlignment="1" applyProtection="1">
      <alignment horizontal="center"/>
      <protection locked="0"/>
    </xf>
    <xf numFmtId="0" fontId="62" fillId="5" borderId="12" xfId="2" applyFont="1" applyFill="1" applyBorder="1" applyAlignment="1" applyProtection="1">
      <alignment horizontal="center" vertical="center" wrapText="1"/>
    </xf>
    <xf numFmtId="0" fontId="62" fillId="5" borderId="0" xfId="2" applyFont="1" applyFill="1" applyBorder="1" applyAlignment="1" applyProtection="1">
      <alignment horizontal="center" vertical="center" wrapText="1"/>
    </xf>
    <xf numFmtId="0" fontId="17" fillId="5" borderId="0" xfId="0" applyFont="1" applyFill="1" applyBorder="1" applyAlignment="1">
      <alignment horizontal="left" vertical="center" wrapText="1"/>
    </xf>
    <xf numFmtId="0" fontId="30" fillId="3" borderId="0" xfId="1" applyFont="1" applyFill="1" applyBorder="1" applyAlignment="1">
      <alignment horizontal="left" vertical="center" wrapText="1"/>
    </xf>
    <xf numFmtId="0" fontId="30" fillId="3" borderId="37" xfId="1" applyFont="1" applyFill="1" applyBorder="1" applyAlignment="1">
      <alignment horizontal="left" vertical="center" wrapText="1"/>
    </xf>
    <xf numFmtId="0" fontId="30" fillId="3" borderId="0" xfId="1" applyFont="1" applyFill="1" applyBorder="1" applyAlignment="1">
      <alignment horizontal="left" vertical="top" wrapText="1"/>
    </xf>
    <xf numFmtId="0" fontId="30" fillId="3" borderId="37" xfId="1" applyFont="1" applyFill="1" applyBorder="1" applyAlignment="1">
      <alignment horizontal="left" vertical="top" wrapText="1"/>
    </xf>
    <xf numFmtId="0" fontId="33" fillId="3" borderId="0" xfId="1" applyFont="1" applyFill="1" applyBorder="1" applyAlignment="1">
      <alignment horizontal="left" wrapText="1"/>
    </xf>
    <xf numFmtId="0" fontId="33" fillId="3" borderId="37" xfId="1" applyFont="1" applyFill="1" applyBorder="1" applyAlignment="1">
      <alignment horizontal="left" wrapText="1"/>
    </xf>
    <xf numFmtId="0" fontId="30" fillId="3" borderId="0" xfId="1" applyFont="1" applyFill="1" applyBorder="1" applyAlignment="1">
      <alignment horizontal="left" wrapText="1"/>
    </xf>
    <xf numFmtId="0" fontId="30" fillId="3" borderId="37" xfId="1" applyFont="1" applyFill="1" applyBorder="1" applyAlignment="1">
      <alignment horizontal="left" wrapText="1"/>
    </xf>
    <xf numFmtId="0" fontId="30" fillId="3" borderId="0" xfId="1" applyFont="1" applyFill="1" applyBorder="1" applyAlignment="1">
      <alignment horizontal="center" vertical="top" wrapText="1"/>
    </xf>
    <xf numFmtId="0" fontId="30" fillId="3" borderId="37" xfId="1" applyFont="1" applyFill="1" applyBorder="1" applyAlignment="1">
      <alignment horizontal="center" vertical="top" wrapText="1"/>
    </xf>
    <xf numFmtId="0" fontId="30" fillId="3" borderId="6" xfId="1" applyFont="1" applyFill="1" applyBorder="1" applyAlignment="1">
      <alignment horizontal="left" vertical="top" wrapText="1"/>
    </xf>
    <xf numFmtId="0" fontId="24" fillId="3" borderId="0" xfId="2" applyNumberFormat="1" applyFont="1" applyFill="1" applyBorder="1" applyAlignment="1" applyProtection="1">
      <alignment horizontal="left" vertical="top" wrapText="1"/>
    </xf>
    <xf numFmtId="0" fontId="72" fillId="3" borderId="24" xfId="1" applyFont="1" applyFill="1" applyBorder="1" applyAlignment="1">
      <alignment horizontal="left" vertical="top" wrapText="1"/>
    </xf>
    <xf numFmtId="0" fontId="72" fillId="3" borderId="12" xfId="1" applyFont="1" applyFill="1" applyBorder="1" applyAlignment="1">
      <alignment horizontal="left" vertical="top" wrapText="1"/>
    </xf>
    <xf numFmtId="0" fontId="72" fillId="3" borderId="25" xfId="1" applyFont="1" applyFill="1" applyBorder="1" applyAlignment="1">
      <alignment horizontal="left" vertical="top" wrapText="1"/>
    </xf>
    <xf numFmtId="0" fontId="72" fillId="3" borderId="18" xfId="1" applyFont="1" applyFill="1" applyBorder="1" applyAlignment="1">
      <alignment horizontal="left" vertical="top" wrapText="1"/>
    </xf>
    <xf numFmtId="0" fontId="72" fillId="3" borderId="0" xfId="1" applyFont="1" applyFill="1" applyBorder="1" applyAlignment="1">
      <alignment horizontal="left" vertical="top" wrapText="1"/>
    </xf>
    <xf numFmtId="0" fontId="72" fillId="3" borderId="19" xfId="1" applyFont="1" applyFill="1" applyBorder="1" applyAlignment="1">
      <alignment horizontal="left" vertical="top" wrapText="1"/>
    </xf>
    <xf numFmtId="0" fontId="72" fillId="3" borderId="20" xfId="1" applyFont="1" applyFill="1" applyBorder="1" applyAlignment="1">
      <alignment horizontal="left" vertical="top" wrapText="1"/>
    </xf>
    <xf numFmtId="0" fontId="72" fillId="3" borderId="14" xfId="1" applyFont="1" applyFill="1" applyBorder="1" applyAlignment="1">
      <alignment horizontal="left" vertical="top" wrapText="1"/>
    </xf>
    <xf numFmtId="0" fontId="72" fillId="3" borderId="21" xfId="1" applyFont="1" applyFill="1" applyBorder="1" applyAlignment="1">
      <alignment horizontal="left" vertical="top" wrapText="1"/>
    </xf>
    <xf numFmtId="0" fontId="73" fillId="9" borderId="26" xfId="1" applyFont="1" applyFill="1" applyBorder="1" applyAlignment="1">
      <alignment horizontal="center" vertical="center" wrapText="1"/>
    </xf>
    <xf numFmtId="0" fontId="73" fillId="9" borderId="0" xfId="1" applyFont="1" applyFill="1" applyBorder="1" applyAlignment="1">
      <alignment horizontal="center" vertical="center" wrapText="1"/>
    </xf>
    <xf numFmtId="166" fontId="75" fillId="9" borderId="53" xfId="1" applyNumberFormat="1" applyFont="1" applyFill="1" applyBorder="1" applyAlignment="1">
      <alignment horizontal="center" vertical="center" wrapText="1"/>
    </xf>
    <xf numFmtId="0" fontId="76" fillId="5" borderId="11" xfId="0" applyFont="1" applyFill="1" applyBorder="1" applyAlignment="1">
      <alignment horizontal="left" vertical="center" indent="2"/>
    </xf>
    <xf numFmtId="1" fontId="56" fillId="0" borderId="0" xfId="3" applyNumberFormat="1" applyFont="1" applyBorder="1"/>
    <xf numFmtId="164" fontId="71" fillId="0" borderId="13" xfId="5" applyNumberFormat="1" applyFont="1" applyBorder="1" applyAlignment="1" applyProtection="1">
      <alignment horizontal="center" vertical="center"/>
    </xf>
    <xf numFmtId="0" fontId="16" fillId="0" borderId="5" xfId="3" applyFont="1" applyBorder="1"/>
    <xf numFmtId="0" fontId="15" fillId="0" borderId="0" xfId="3" applyBorder="1" applyAlignment="1">
      <alignment horizontal="left"/>
    </xf>
    <xf numFmtId="164" fontId="71" fillId="0" borderId="0" xfId="5" applyNumberFormat="1" applyFont="1" applyBorder="1" applyAlignment="1" applyProtection="1">
      <alignment horizontal="center" vertical="center"/>
    </xf>
    <xf numFmtId="0" fontId="8" fillId="0" borderId="24" xfId="0" applyFont="1" applyBorder="1"/>
    <xf numFmtId="0" fontId="8" fillId="0" borderId="18" xfId="0" applyFont="1" applyBorder="1"/>
    <xf numFmtId="0" fontId="8" fillId="0" borderId="20" xfId="0" applyFont="1" applyBorder="1"/>
    <xf numFmtId="2" fontId="71" fillId="0" borderId="13" xfId="5" applyNumberFormat="1" applyFont="1" applyBorder="1" applyAlignment="1" applyProtection="1">
      <alignment horizontal="center" vertical="center"/>
    </xf>
    <xf numFmtId="1" fontId="40" fillId="0" borderId="0" xfId="0" applyNumberFormat="1" applyFont="1"/>
    <xf numFmtId="0" fontId="25" fillId="0" borderId="5" xfId="0" applyFont="1" applyBorder="1" applyAlignment="1">
      <alignment horizontal="left" indent="2"/>
    </xf>
    <xf numFmtId="0" fontId="15" fillId="0" borderId="0" xfId="3" applyBorder="1" applyAlignment="1">
      <alignment vertical="top"/>
    </xf>
    <xf numFmtId="0" fontId="0" fillId="0" borderId="0" xfId="0" applyBorder="1" applyAlignment="1">
      <alignment vertical="top"/>
    </xf>
    <xf numFmtId="0" fontId="15" fillId="0" borderId="0" xfId="3" applyBorder="1" applyAlignment="1">
      <alignment horizontal="center" vertical="top"/>
    </xf>
    <xf numFmtId="0" fontId="78" fillId="0" borderId="0" xfId="0" applyFont="1" applyBorder="1" applyAlignment="1">
      <alignment horizontal="center" vertical="top"/>
    </xf>
    <xf numFmtId="0" fontId="15" fillId="0" borderId="6" xfId="3" applyBorder="1" applyAlignment="1">
      <alignment vertical="top"/>
    </xf>
    <xf numFmtId="0" fontId="16" fillId="0" borderId="2" xfId="3" applyFont="1" applyFill="1" applyBorder="1"/>
    <xf numFmtId="0" fontId="15" fillId="0" borderId="3" xfId="3" applyBorder="1"/>
    <xf numFmtId="0" fontId="15" fillId="0" borderId="4" xfId="3" applyBorder="1"/>
    <xf numFmtId="0" fontId="78" fillId="0" borderId="5" xfId="0" applyFont="1" applyBorder="1" applyAlignment="1">
      <alignment horizontal="left" vertical="top"/>
    </xf>
    <xf numFmtId="0" fontId="16" fillId="0" borderId="7" xfId="3" applyFont="1" applyFill="1" applyBorder="1"/>
    <xf numFmtId="0" fontId="15" fillId="0" borderId="8" xfId="3" applyBorder="1"/>
    <xf numFmtId="0" fontId="77" fillId="6" borderId="2" xfId="0" applyFont="1" applyFill="1" applyBorder="1" applyAlignment="1" applyProtection="1">
      <alignment horizontal="left" indent="14"/>
      <protection locked="0"/>
    </xf>
    <xf numFmtId="0" fontId="77" fillId="6" borderId="3" xfId="0" applyFont="1" applyFill="1" applyBorder="1" applyAlignment="1" applyProtection="1">
      <alignment horizontal="left" indent="14"/>
      <protection locked="0"/>
    </xf>
    <xf numFmtId="0" fontId="77" fillId="6" borderId="4" xfId="0" applyFont="1" applyFill="1" applyBorder="1" applyAlignment="1" applyProtection="1">
      <alignment horizontal="left" indent="14"/>
      <protection locked="0"/>
    </xf>
  </cellXfs>
  <cellStyles count="7">
    <cellStyle name="Excel Built-in Normal" xfId="1"/>
    <cellStyle name="Lien hypertexte" xfId="2" builtinId="8"/>
    <cellStyle name="Normal" xfId="0" builtinId="0"/>
    <cellStyle name="Normal 4" xfId="3"/>
    <cellStyle name="Pourcentage" xfId="4" builtinId="5"/>
    <cellStyle name="Pourcentage 3" xfId="6"/>
    <cellStyle name="Standard_HWB Kurzverf. Formular" xfId="5"/>
  </cellStyles>
  <dxfs count="62">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bgColor theme="0"/>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
      <fill>
        <patternFill patternType="none">
          <bgColor indexed="65"/>
        </patternFill>
      </fill>
      <border>
        <left/>
        <right/>
        <top/>
        <bottom/>
      </border>
    </dxf>
    <dxf>
      <fill>
        <patternFill>
          <bgColor rgb="FF92D050"/>
        </patternFill>
      </fill>
      <border>
        <left style="thin">
          <color indexed="64"/>
        </left>
        <right style="thin">
          <color indexed="64"/>
        </right>
        <top style="thin">
          <color indexed="64"/>
        </top>
        <bottom style="thin">
          <color indexed="64"/>
        </bottom>
      </border>
    </dxf>
  </dxfs>
  <tableStyles count="0" defaultTableStyle="TableStyleMedium9" defaultPivotStyle="PivotStyleLight16"/>
  <colors>
    <mruColors>
      <color rgb="FFFAFA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Bilan financier annuel</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2013888888888889"/>
          <c:y val="0.1659998203875673"/>
          <c:w val="0.74652777777777779"/>
          <c:h val="0.63580207488022866"/>
        </c:manualLayout>
      </c:layout>
      <c:barChart>
        <c:barDir val="col"/>
        <c:grouping val="clustered"/>
        <c:varyColors val="0"/>
        <c:ser>
          <c:idx val="0"/>
          <c:order val="0"/>
          <c:spPr>
            <a:solidFill>
              <a:schemeClr val="accent1"/>
            </a:solidFill>
            <a:ln>
              <a:noFill/>
            </a:ln>
            <a:effectLst/>
          </c:spPr>
          <c:invertIfNegative val="0"/>
          <c:cat>
            <c:strRef>
              <c:f>'Calcul rentabilité VMC'!$T$399:$T$402</c:f>
              <c:strCache>
                <c:ptCount val="4"/>
                <c:pt idx="0">
                  <c:v>Economies annuelles Pcan</c:v>
                </c:pt>
                <c:pt idx="1">
                  <c:v>Economies annuelles VMC DF</c:v>
                </c:pt>
                <c:pt idx="2">
                  <c:v>Conso électrique VMC </c:v>
                </c:pt>
                <c:pt idx="3">
                  <c:v>Conso électrique dégivrage</c:v>
                </c:pt>
              </c:strCache>
            </c:strRef>
          </c:cat>
          <c:val>
            <c:numRef>
              <c:f>'Calcul rentabilité VMC'!$S$399:$S$402</c:f>
              <c:numCache>
                <c:formatCode>0.0</c:formatCode>
                <c:ptCount val="4"/>
                <c:pt idx="0" formatCode="0.00">
                  <c:v>0</c:v>
                </c:pt>
                <c:pt idx="1">
                  <c:v>104.1320448</c:v>
                </c:pt>
                <c:pt idx="2">
                  <c:v>42.678720000000006</c:v>
                </c:pt>
                <c:pt idx="3" formatCode="0.00">
                  <c:v>12.386001600000002</c:v>
                </c:pt>
              </c:numCache>
            </c:numRef>
          </c:val>
        </c:ser>
        <c:dLbls>
          <c:showLegendKey val="0"/>
          <c:showVal val="0"/>
          <c:showCatName val="0"/>
          <c:showSerName val="0"/>
          <c:showPercent val="0"/>
          <c:showBubbleSize val="0"/>
        </c:dLbls>
        <c:gapWidth val="267"/>
        <c:overlap val="-43"/>
        <c:axId val="576138080"/>
        <c:axId val="576146784"/>
      </c:barChart>
      <c:catAx>
        <c:axId val="57613808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fr-FR"/>
          </a:p>
        </c:txPr>
        <c:crossAx val="576146784"/>
        <c:crosses val="autoZero"/>
        <c:auto val="1"/>
        <c:lblAlgn val="ctr"/>
        <c:lblOffset val="100"/>
        <c:noMultiLvlLbl val="0"/>
      </c:catAx>
      <c:valAx>
        <c:axId val="576146784"/>
        <c:scaling>
          <c:orientation val="minMax"/>
        </c:scaling>
        <c:delete val="0"/>
        <c:axPos val="l"/>
        <c:majorGridlines>
          <c:spPr>
            <a:ln w="9525" cap="flat" cmpd="sng" algn="ctr">
              <a:solidFill>
                <a:schemeClr val="dk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38080"/>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Efficacité récupération de chaleur variante</a:t>
            </a:r>
          </a:p>
        </c:rich>
      </c:tx>
      <c:overlay val="1"/>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9184696623618216"/>
          <c:y val="0.1782578426387541"/>
          <c:w val="0.73795359852505815"/>
          <c:h val="0.66110680070128003"/>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fr-FR"/>
              </a:p>
            </c:txP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'Calcul rentabilité VMC'!$U$432:$U$434</c:f>
              <c:strCache>
                <c:ptCount val="3"/>
                <c:pt idx="0">
                  <c:v>Déperditions liées aux infiltrations d'air</c:v>
                </c:pt>
                <c:pt idx="1">
                  <c:v>Déperditions liées au rendement de la VMC DF</c:v>
                </c:pt>
                <c:pt idx="2">
                  <c:v>Gains issus de la récupération de chaleur</c:v>
                </c:pt>
              </c:strCache>
            </c:strRef>
          </c:cat>
          <c:val>
            <c:numRef>
              <c:f>'Calcul rentabilité VMC'!$X$432:$X$434</c:f>
              <c:numCache>
                <c:formatCode>0.0</c:formatCode>
                <c:ptCount val="3"/>
                <c:pt idx="0">
                  <c:v>1507.7452320000004</c:v>
                </c:pt>
                <c:pt idx="1">
                  <c:v>396.69350400000008</c:v>
                </c:pt>
                <c:pt idx="2">
                  <c:v>2082.6408959999999</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3.9072437854525306E-2"/>
          <c:y val="0.7160085684107651"/>
          <c:w val="0.34289060585331516"/>
          <c:h val="0.26903802102609758"/>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legend>
    <c:plotVisOnly val="1"/>
    <c:dispBlanksAs val="zero"/>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Efficacité récupération de chaleur solution</a:t>
            </a:r>
            <a:r>
              <a:rPr lang="fr-FR" baseline="0">
                <a:latin typeface="Darwin" panose="02000000000000000000" pitchFamily="50" charset="0"/>
              </a:rPr>
              <a:t> de base</a:t>
            </a:r>
            <a:endParaRPr lang="fr-FR">
              <a:latin typeface="Darwin" panose="02000000000000000000" pitchFamily="50" charset="0"/>
            </a:endParaRPr>
          </a:p>
        </c:rich>
      </c:tx>
      <c:layout>
        <c:manualLayout>
          <c:xMode val="edge"/>
          <c:yMode val="edge"/>
          <c:x val="0.14899319507258388"/>
          <c:y val="2.7266530334014997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4.8653798249937728E-2"/>
          <c:y val="0.1641774738092005"/>
          <c:w val="0.6616086398384492"/>
          <c:h val="0.67838832031448293"/>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fr-FR"/>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'Calcul rentabilité VMC'!$U$432:$U$434</c:f>
              <c:strCache>
                <c:ptCount val="3"/>
                <c:pt idx="0">
                  <c:v>Déperditions liées aux infiltrations d'air</c:v>
                </c:pt>
                <c:pt idx="1">
                  <c:v>Déperditions liées au rendement de la VMC DF</c:v>
                </c:pt>
                <c:pt idx="2">
                  <c:v>Gains issus de la récupération de chaleur</c:v>
                </c:pt>
              </c:strCache>
            </c:strRef>
          </c:cat>
          <c:val>
            <c:numRef>
              <c:f>'Calcul rentabilité VMC'!$T$432:$T$434</c:f>
              <c:numCache>
                <c:formatCode>0.0</c:formatCode>
                <c:ptCount val="3"/>
                <c:pt idx="0">
                  <c:v>1507.7452320000004</c:v>
                </c:pt>
                <c:pt idx="1">
                  <c:v>396.69350400000008</c:v>
                </c:pt>
                <c:pt idx="2">
                  <c:v>2082.6408959999999</c:v>
                </c:pt>
              </c:numCache>
            </c:numRef>
          </c:val>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5162713942781325"/>
          <c:y val="0.66375187218427101"/>
          <c:w val="0.33013007203986217"/>
          <c:h val="0.30925567021109424"/>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zero"/>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Comparatif : bilan déperditif en kWh/m².a</a:t>
            </a:r>
          </a:p>
        </c:rich>
      </c:tx>
      <c:layout>
        <c:manualLayout>
          <c:xMode val="edge"/>
          <c:yMode val="edge"/>
          <c:x val="0.11745154855643045"/>
          <c:y val="1.9988597736758314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5277777777777779"/>
          <c:y val="0.1887929018805691"/>
          <c:w val="0.79166666666666652"/>
          <c:h val="0.5926781960531657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dPt>
          <c:dPt>
            <c:idx val="2"/>
            <c:invertIfNegative val="0"/>
            <c:bubble3D val="0"/>
            <c:spPr>
              <a:solidFill>
                <a:schemeClr val="accent3">
                  <a:lumMod val="60000"/>
                  <a:lumOff val="40000"/>
                </a:schemeClr>
              </a:solidFill>
              <a:ln>
                <a:noFill/>
              </a:ln>
              <a:effectLst/>
            </c:spPr>
          </c:dPt>
          <c:dPt>
            <c:idx val="3"/>
            <c:invertIfNegative val="0"/>
            <c:bubble3D val="0"/>
            <c:spPr>
              <a:solidFill>
                <a:schemeClr val="bg2">
                  <a:lumMod val="75000"/>
                </a:schemeClr>
              </a:solidFill>
              <a:ln>
                <a:noFill/>
              </a:ln>
              <a:effectLst/>
            </c:spPr>
          </c:dPt>
          <c:dPt>
            <c:idx val="4"/>
            <c:invertIfNegative val="0"/>
            <c:bubble3D val="0"/>
            <c:spPr>
              <a:solidFill>
                <a:srgbClr val="92D050"/>
              </a:solidFill>
              <a:ln>
                <a:noFill/>
              </a:ln>
              <a:effectLst/>
            </c:spPr>
          </c:dPt>
          <c:cat>
            <c:strRef>
              <c:f>'Calcul rentabilité VMC'!$U$437:$U$441</c:f>
              <c:strCache>
                <c:ptCount val="5"/>
                <c:pt idx="0">
                  <c:v>Projet</c:v>
                </c:pt>
                <c:pt idx="2">
                  <c:v>Objectif
 RT2005 
vmc SF auto</c:v>
                </c:pt>
                <c:pt idx="3">
                  <c:v>Objectif 
BBC 
VMC SF hygro</c:v>
                </c:pt>
                <c:pt idx="4">
                  <c:v>Objectif solution passive</c:v>
                </c:pt>
              </c:strCache>
            </c:strRef>
          </c:cat>
          <c:val>
            <c:numRef>
              <c:f>'Calcul rentabilité VMC'!$T$437:$T$441</c:f>
              <c:numCache>
                <c:formatCode>General</c:formatCode>
                <c:ptCount val="5"/>
                <c:pt idx="0" formatCode="0.0">
                  <c:v>13.700998100719428</c:v>
                </c:pt>
                <c:pt idx="2">
                  <c:v>26.777254066122275</c:v>
                </c:pt>
                <c:pt idx="3">
                  <c:v>18.716237060305655</c:v>
                </c:pt>
                <c:pt idx="4">
                  <c:v>4</c:v>
                </c:pt>
              </c:numCache>
            </c:numRef>
          </c:val>
        </c:ser>
        <c:dLbls>
          <c:showLegendKey val="0"/>
          <c:showVal val="0"/>
          <c:showCatName val="0"/>
          <c:showSerName val="0"/>
          <c:showPercent val="0"/>
          <c:showBubbleSize val="0"/>
        </c:dLbls>
        <c:gapWidth val="267"/>
        <c:overlap val="-43"/>
        <c:axId val="576141888"/>
        <c:axId val="576143520"/>
      </c:barChart>
      <c:catAx>
        <c:axId val="57614188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fr-FR"/>
          </a:p>
        </c:txPr>
        <c:crossAx val="576143520"/>
        <c:crosses val="autoZero"/>
        <c:auto val="1"/>
        <c:lblAlgn val="ctr"/>
        <c:lblOffset val="100"/>
        <c:noMultiLvlLbl val="0"/>
      </c:catAx>
      <c:valAx>
        <c:axId val="576143520"/>
        <c:scaling>
          <c:orientation val="minMax"/>
        </c:scaling>
        <c:delete val="0"/>
        <c:axPos val="l"/>
        <c:majorGridlines>
          <c:spPr>
            <a:ln w="9525" cap="flat" cmpd="sng" algn="ctr">
              <a:solidFill>
                <a:schemeClr val="dk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41888"/>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44" l="0.7000000000000004" r="0.7000000000000004" t="0.75000000000000044"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Efficacité récupération de chaleur </a:t>
            </a:r>
          </a:p>
        </c:rich>
      </c:tx>
      <c:layout>
        <c:manualLayout>
          <c:xMode val="edge"/>
          <c:yMode val="edge"/>
          <c:x val="0.14899319507258388"/>
          <c:y val="2.7266530334014997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4.8653798249937728E-2"/>
          <c:y val="0.1641774738092005"/>
          <c:w val="0.6616086398384492"/>
          <c:h val="0.67838832031448293"/>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fr-FR"/>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'Calcul rentabilité VMC'!$U$432:$U$434</c:f>
              <c:strCache>
                <c:ptCount val="3"/>
                <c:pt idx="0">
                  <c:v>Déperditions liées aux infiltrations d'air</c:v>
                </c:pt>
                <c:pt idx="1">
                  <c:v>Déperditions liées au rendement de la VMC DF</c:v>
                </c:pt>
                <c:pt idx="2">
                  <c:v>Gains issus de la récupération de chaleur</c:v>
                </c:pt>
              </c:strCache>
            </c:strRef>
          </c:cat>
          <c:val>
            <c:numRef>
              <c:f>'Calcul rentabilité VMC'!$T$432:$T$434</c:f>
              <c:numCache>
                <c:formatCode>0.0</c:formatCode>
                <c:ptCount val="3"/>
                <c:pt idx="0">
                  <c:v>1507.7452320000004</c:v>
                </c:pt>
                <c:pt idx="1">
                  <c:v>396.69350400000008</c:v>
                </c:pt>
                <c:pt idx="2">
                  <c:v>2082.6408959999999</c:v>
                </c:pt>
              </c:numCache>
            </c:numRef>
          </c:val>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5162713942781325"/>
          <c:y val="0.66375187218427101"/>
          <c:w val="0.33013007203986217"/>
          <c:h val="0.30925567021109424"/>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zero"/>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Comparatif : bilan déperditif en kWh/m².a</a:t>
            </a:r>
          </a:p>
        </c:rich>
      </c:tx>
      <c:layout>
        <c:manualLayout>
          <c:xMode val="edge"/>
          <c:yMode val="edge"/>
          <c:x val="0.11368772007078685"/>
          <c:y val="1.8787124680494063E-2"/>
        </c:manualLayout>
      </c:layout>
      <c:overlay val="1"/>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5277777777777779"/>
          <c:y val="0.16447247824039757"/>
          <c:w val="0.79166666666666652"/>
          <c:h val="0.68400926793564654"/>
        </c:manualLayout>
      </c:layout>
      <c:barChart>
        <c:barDir val="col"/>
        <c:grouping val="clustered"/>
        <c:varyColors val="0"/>
        <c:ser>
          <c:idx val="0"/>
          <c:order val="0"/>
          <c:spPr>
            <a:solidFill>
              <a:schemeClr val="accent1"/>
            </a:solidFill>
            <a:ln>
              <a:noFill/>
            </a:ln>
            <a:effectLst/>
          </c:spPr>
          <c:invertIfNegative val="0"/>
          <c:dPt>
            <c:idx val="0"/>
            <c:invertIfNegative val="0"/>
            <c:bubble3D val="0"/>
          </c:dPt>
          <c:dPt>
            <c:idx val="1"/>
            <c:invertIfNegative val="0"/>
            <c:bubble3D val="0"/>
            <c:spPr>
              <a:solidFill>
                <a:schemeClr val="accent2"/>
              </a:solidFill>
              <a:ln>
                <a:noFill/>
              </a:ln>
              <a:effectLst/>
            </c:spPr>
          </c:dPt>
          <c:dPt>
            <c:idx val="3"/>
            <c:invertIfNegative val="0"/>
            <c:bubble3D val="0"/>
            <c:spPr>
              <a:solidFill>
                <a:srgbClr val="C00000"/>
              </a:solidFill>
              <a:ln>
                <a:noFill/>
              </a:ln>
              <a:effectLst/>
            </c:spPr>
          </c:dPt>
          <c:dPt>
            <c:idx val="4"/>
            <c:invertIfNegative val="0"/>
            <c:bubble3D val="0"/>
            <c:spPr>
              <a:solidFill>
                <a:schemeClr val="bg2">
                  <a:lumMod val="75000"/>
                </a:schemeClr>
              </a:solidFill>
              <a:ln>
                <a:noFill/>
              </a:ln>
              <a:effectLst/>
            </c:spPr>
          </c:dPt>
          <c:dPt>
            <c:idx val="5"/>
            <c:invertIfNegative val="0"/>
            <c:bubble3D val="0"/>
            <c:spPr>
              <a:solidFill>
                <a:srgbClr val="92D050"/>
              </a:solidFill>
              <a:ln>
                <a:noFill/>
              </a:ln>
              <a:effectLst/>
            </c:spPr>
          </c:dPt>
          <c:cat>
            <c:strRef>
              <c:f>'Calcul rentabilité VMC'!$U$445:$U$450</c:f>
              <c:strCache>
                <c:ptCount val="6"/>
                <c:pt idx="0">
                  <c:v>Projet</c:v>
                </c:pt>
                <c:pt idx="1">
                  <c:v>Variante </c:v>
                </c:pt>
                <c:pt idx="3">
                  <c:v>Objectif
 RT2005 
vmc SF auto</c:v>
                </c:pt>
                <c:pt idx="4">
                  <c:v>Objectif 
BBC 
VMC SF hygro</c:v>
                </c:pt>
                <c:pt idx="5">
                  <c:v>Objectif solution passive</c:v>
                </c:pt>
              </c:strCache>
            </c:strRef>
          </c:cat>
          <c:val>
            <c:numRef>
              <c:f>'Calcul rentabilité VMC'!$T$445:$T$450</c:f>
              <c:numCache>
                <c:formatCode>0.0</c:formatCode>
                <c:ptCount val="6"/>
                <c:pt idx="0">
                  <c:v>13.700998100719428</c:v>
                </c:pt>
                <c:pt idx="1">
                  <c:v>13.700998100719428</c:v>
                </c:pt>
                <c:pt idx="3">
                  <c:v>26.777254066122275</c:v>
                </c:pt>
                <c:pt idx="4">
                  <c:v>18.716237060305655</c:v>
                </c:pt>
                <c:pt idx="5">
                  <c:v>4</c:v>
                </c:pt>
              </c:numCache>
            </c:numRef>
          </c:val>
        </c:ser>
        <c:dLbls>
          <c:showLegendKey val="0"/>
          <c:showVal val="0"/>
          <c:showCatName val="0"/>
          <c:showSerName val="0"/>
          <c:showPercent val="0"/>
          <c:showBubbleSize val="0"/>
        </c:dLbls>
        <c:gapWidth val="267"/>
        <c:overlap val="-43"/>
        <c:axId val="576156576"/>
        <c:axId val="576151680"/>
      </c:barChart>
      <c:catAx>
        <c:axId val="57615657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fr-FR"/>
          </a:p>
        </c:txPr>
        <c:crossAx val="576151680"/>
        <c:crosses val="autoZero"/>
        <c:auto val="1"/>
        <c:lblAlgn val="ctr"/>
        <c:lblOffset val="100"/>
        <c:noMultiLvlLbl val="0"/>
      </c:catAx>
      <c:valAx>
        <c:axId val="576151680"/>
        <c:scaling>
          <c:orientation val="minMax"/>
        </c:scaling>
        <c:delete val="0"/>
        <c:axPos val="l"/>
        <c:majorGridlines>
          <c:spPr>
            <a:ln w="9525" cap="flat" cmpd="sng" algn="ctr">
              <a:solidFill>
                <a:schemeClr val="dk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56576"/>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noFill/>
      <a:round/>
    </a:ln>
    <a:effectLst/>
  </c:spPr>
  <c:txPr>
    <a:bodyPr/>
    <a:lstStyle/>
    <a:p>
      <a:pPr>
        <a:defRPr/>
      </a:pPr>
      <a:endParaRPr lang="fr-FR"/>
    </a:p>
  </c:txPr>
  <c:printSettings>
    <c:headerFooter/>
    <c:pageMargins b="0.75000000000000078" l="0.70000000000000062" r="0.70000000000000062" t="0.750000000000000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Bilan financier annuel</a:t>
            </a:r>
          </a:p>
          <a:p>
            <a:pPr>
              <a:defRPr>
                <a:latin typeface="Darwin" panose="02000000000000000000" pitchFamily="50" charset="0"/>
              </a:defRPr>
            </a:pPr>
            <a:endParaRPr lang="fr-FR">
              <a:latin typeface="Darwin" panose="02000000000000000000" pitchFamily="50" charset="0"/>
            </a:endParaRPr>
          </a:p>
        </c:rich>
      </c:tx>
      <c:layout/>
      <c:overlay val="1"/>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2776699006618231"/>
          <c:y val="0.15865965971403934"/>
          <c:w val="0.80299251870324162"/>
          <c:h val="0.67972036534178193"/>
        </c:manualLayout>
      </c:layout>
      <c:barChart>
        <c:barDir val="col"/>
        <c:grouping val="clustered"/>
        <c:varyColors val="0"/>
        <c:ser>
          <c:idx val="0"/>
          <c:order val="0"/>
          <c:spPr>
            <a:solidFill>
              <a:schemeClr val="accent1"/>
            </a:solidFill>
            <a:ln>
              <a:noFill/>
            </a:ln>
            <a:effectLst/>
          </c:spPr>
          <c:invertIfNegative val="0"/>
          <c:cat>
            <c:strRef>
              <c:f>'Calcul rentabilité VMC'!$U$404:$U$407</c:f>
              <c:strCache>
                <c:ptCount val="4"/>
                <c:pt idx="0">
                  <c:v>Economies annuelles Pcan</c:v>
                </c:pt>
                <c:pt idx="1">
                  <c:v>Economies annuelles VMC DF</c:v>
                </c:pt>
                <c:pt idx="2">
                  <c:v>Conso électrique VMC </c:v>
                </c:pt>
                <c:pt idx="3">
                  <c:v>Conso électrique dégivrage</c:v>
                </c:pt>
              </c:strCache>
            </c:strRef>
          </c:cat>
          <c:val>
            <c:numRef>
              <c:f>'Calcul rentabilité VMC'!$S$404:$S$407</c:f>
              <c:numCache>
                <c:formatCode>0.00</c:formatCode>
                <c:ptCount val="4"/>
                <c:pt idx="0">
                  <c:v>0</c:v>
                </c:pt>
                <c:pt idx="1">
                  <c:v>104.1320448</c:v>
                </c:pt>
                <c:pt idx="2">
                  <c:v>42.678720000000006</c:v>
                </c:pt>
                <c:pt idx="3">
                  <c:v>12.386001600000002</c:v>
                </c:pt>
              </c:numCache>
            </c:numRef>
          </c:val>
        </c:ser>
        <c:ser>
          <c:idx val="1"/>
          <c:order val="1"/>
          <c:spPr>
            <a:solidFill>
              <a:schemeClr val="accent2"/>
            </a:solidFill>
            <a:ln>
              <a:noFill/>
            </a:ln>
            <a:effectLst/>
          </c:spPr>
          <c:invertIfNegative val="0"/>
          <c:cat>
            <c:strRef>
              <c:f>'Calcul rentabilité VMC'!$U$404:$U$407</c:f>
              <c:strCache>
                <c:ptCount val="4"/>
                <c:pt idx="0">
                  <c:v>Economies annuelles Pcan</c:v>
                </c:pt>
                <c:pt idx="1">
                  <c:v>Economies annuelles VMC DF</c:v>
                </c:pt>
                <c:pt idx="2">
                  <c:v>Conso électrique VMC </c:v>
                </c:pt>
                <c:pt idx="3">
                  <c:v>Conso électrique dégivrage</c:v>
                </c:pt>
              </c:strCache>
            </c:strRef>
          </c:cat>
          <c:val>
            <c:numRef>
              <c:f>'Calcul rentabilité VMC'!$T$404:$T$407</c:f>
              <c:numCache>
                <c:formatCode>0.0</c:formatCode>
                <c:ptCount val="4"/>
                <c:pt idx="0" formatCode="0.00">
                  <c:v>0</c:v>
                </c:pt>
                <c:pt idx="1">
                  <c:v>104.1320448</c:v>
                </c:pt>
                <c:pt idx="2">
                  <c:v>42.678720000000006</c:v>
                </c:pt>
                <c:pt idx="3" formatCode="0.00">
                  <c:v>12.386001600000002</c:v>
                </c:pt>
              </c:numCache>
            </c:numRef>
          </c:val>
        </c:ser>
        <c:dLbls>
          <c:showLegendKey val="0"/>
          <c:showVal val="0"/>
          <c:showCatName val="0"/>
          <c:showSerName val="0"/>
          <c:showPercent val="0"/>
          <c:showBubbleSize val="0"/>
        </c:dLbls>
        <c:gapWidth val="267"/>
        <c:overlap val="-43"/>
        <c:axId val="576141344"/>
        <c:axId val="576153856"/>
      </c:barChart>
      <c:catAx>
        <c:axId val="57614134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fr-FR"/>
          </a:p>
        </c:txPr>
        <c:crossAx val="576153856"/>
        <c:crosses val="autoZero"/>
        <c:auto val="1"/>
        <c:lblAlgn val="ctr"/>
        <c:lblOffset val="100"/>
        <c:noMultiLvlLbl val="0"/>
      </c:catAx>
      <c:valAx>
        <c:axId val="576153856"/>
        <c:scaling>
          <c:orientation val="minMax"/>
        </c:scaling>
        <c:delete val="0"/>
        <c:axPos val="l"/>
        <c:majorGridlines>
          <c:spPr>
            <a:ln w="9525" cap="flat" cmpd="sng" algn="ctr">
              <a:solidFill>
                <a:schemeClr val="dk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41344"/>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no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Efficacité récupération de chaleur variante</a:t>
            </a:r>
          </a:p>
        </c:rich>
      </c:tx>
      <c:layout/>
      <c:overlay val="1"/>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9184696623618216"/>
          <c:y val="0.1782578426387541"/>
          <c:w val="0.73795359852505815"/>
          <c:h val="0.66110680070128003"/>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fr-FR"/>
              </a:p>
            </c:txP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'Calcul rentabilité VMC'!$U$432:$U$434</c:f>
              <c:strCache>
                <c:ptCount val="3"/>
                <c:pt idx="0">
                  <c:v>Déperditions liées aux infiltrations d'air</c:v>
                </c:pt>
                <c:pt idx="1">
                  <c:v>Déperditions liées au rendement de la VMC DF</c:v>
                </c:pt>
                <c:pt idx="2">
                  <c:v>Gains issus de la récupération de chaleur</c:v>
                </c:pt>
              </c:strCache>
            </c:strRef>
          </c:cat>
          <c:val>
            <c:numRef>
              <c:f>'Calcul rentabilité VMC'!$X$432:$X$434</c:f>
              <c:numCache>
                <c:formatCode>0.0</c:formatCode>
                <c:ptCount val="3"/>
                <c:pt idx="0">
                  <c:v>1507.7452320000004</c:v>
                </c:pt>
                <c:pt idx="1">
                  <c:v>396.69350400000008</c:v>
                </c:pt>
                <c:pt idx="2">
                  <c:v>2082.6408959999999</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3.9072437854525306E-2"/>
          <c:y val="0.7160085684107651"/>
          <c:w val="0.34289060585331516"/>
          <c:h val="0.26903802102609758"/>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legend>
    <c:plotVisOnly val="1"/>
    <c:dispBlanksAs val="zero"/>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fr-FR"/>
    </a:p>
  </c:txPr>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Cout d'investissement matériel </a:t>
            </a:r>
          </a:p>
        </c:rich>
      </c:tx>
      <c:layout/>
      <c:overlay val="1"/>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4709056435182247"/>
          <c:y val="0.14971503904330308"/>
          <c:w val="0.80299251870324151"/>
          <c:h val="0.66744658172247751"/>
        </c:manualLayout>
      </c:layout>
      <c:barChart>
        <c:barDir val="col"/>
        <c:grouping val="stacked"/>
        <c:varyColors val="0"/>
        <c:ser>
          <c:idx val="0"/>
          <c:order val="0"/>
          <c:tx>
            <c:strRef>
              <c:f>'Calcul rentabilité VMC'!$C$412</c:f>
              <c:strCache>
                <c:ptCount val="1"/>
                <c:pt idx="0">
                  <c:v>Investissement caisson</c:v>
                </c:pt>
              </c:strCache>
            </c:strRef>
          </c:tx>
          <c:spPr>
            <a:solidFill>
              <a:schemeClr val="accent4">
                <a:shade val="65000"/>
              </a:schemeClr>
            </a:solidFill>
            <a:ln>
              <a:noFill/>
            </a:ln>
            <a:effectLst/>
          </c:spPr>
          <c:invertIfNegative val="0"/>
          <c:cat>
            <c:multiLvlStrRef>
              <c:f>'Calcul rentabilité VMC'!$B$254:$B$255</c:f>
            </c:multiLvlStrRef>
          </c:cat>
          <c:val>
            <c:numRef>
              <c:f>'Calcul rentabilité VMC'!$E$412:$F$412</c:f>
              <c:numCache>
                <c:formatCode>0.00</c:formatCode>
                <c:ptCount val="2"/>
                <c:pt idx="0">
                  <c:v>3210.6619999999998</c:v>
                </c:pt>
                <c:pt idx="1">
                  <c:v>3210.6619999999998</c:v>
                </c:pt>
              </c:numCache>
            </c:numRef>
          </c:val>
        </c:ser>
        <c:ser>
          <c:idx val="1"/>
          <c:order val="1"/>
          <c:tx>
            <c:strRef>
              <c:f>'Calcul rentabilité VMC'!$C$413</c:f>
              <c:strCache>
                <c:ptCount val="1"/>
                <c:pt idx="0">
                  <c:v>Investissement réseau</c:v>
                </c:pt>
              </c:strCache>
            </c:strRef>
          </c:tx>
          <c:spPr>
            <a:solidFill>
              <a:schemeClr val="accent4"/>
            </a:solidFill>
            <a:ln>
              <a:noFill/>
            </a:ln>
            <a:effectLst/>
          </c:spPr>
          <c:invertIfNegative val="0"/>
          <c:cat>
            <c:multiLvlStrRef>
              <c:f>'Calcul rentabilité VMC'!$B$254:$B$255</c:f>
            </c:multiLvlStrRef>
          </c:cat>
          <c:val>
            <c:numRef>
              <c:f>'Calcul rentabilité VMC'!$E$413:$F$413</c:f>
              <c:numCache>
                <c:formatCode>0.00</c:formatCode>
                <c:ptCount val="2"/>
                <c:pt idx="0">
                  <c:v>2780</c:v>
                </c:pt>
                <c:pt idx="1">
                  <c:v>2780</c:v>
                </c:pt>
              </c:numCache>
            </c:numRef>
          </c:val>
        </c:ser>
        <c:ser>
          <c:idx val="2"/>
          <c:order val="2"/>
          <c:tx>
            <c:strRef>
              <c:f>'Calcul rentabilité VMC'!$C$414</c:f>
              <c:strCache>
                <c:ptCount val="1"/>
                <c:pt idx="0">
                  <c:v>Investissement puits canadien</c:v>
                </c:pt>
              </c:strCache>
            </c:strRef>
          </c:tx>
          <c:spPr>
            <a:solidFill>
              <a:schemeClr val="accent4">
                <a:tint val="65000"/>
              </a:schemeClr>
            </a:solidFill>
            <a:ln>
              <a:noFill/>
            </a:ln>
            <a:effectLst/>
          </c:spPr>
          <c:invertIfNegative val="0"/>
          <c:cat>
            <c:multiLvlStrRef>
              <c:f>'Calcul rentabilité VMC'!$B$254:$B$255</c:f>
            </c:multiLvlStrRef>
          </c:cat>
          <c:val>
            <c:numRef>
              <c:f>'Calcul rentabilité VMC'!$E$414:$F$414</c:f>
              <c:numCache>
                <c:formatCode>0.00</c:formatCode>
                <c:ptCount val="2"/>
                <c:pt idx="0">
                  <c:v>0</c:v>
                </c:pt>
                <c:pt idx="1">
                  <c:v>0</c:v>
                </c:pt>
              </c:numCache>
            </c:numRef>
          </c:val>
        </c:ser>
        <c:dLbls>
          <c:showLegendKey val="0"/>
          <c:showVal val="0"/>
          <c:showCatName val="0"/>
          <c:showSerName val="0"/>
          <c:showPercent val="0"/>
          <c:showBubbleSize val="0"/>
        </c:dLbls>
        <c:gapWidth val="150"/>
        <c:overlap val="100"/>
        <c:axId val="576146240"/>
        <c:axId val="576154400"/>
      </c:barChart>
      <c:catAx>
        <c:axId val="57614624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fr-FR"/>
          </a:p>
        </c:txPr>
        <c:crossAx val="576154400"/>
        <c:crosses val="autoZero"/>
        <c:auto val="1"/>
        <c:lblAlgn val="ctr"/>
        <c:lblOffset val="100"/>
        <c:noMultiLvlLbl val="0"/>
      </c:catAx>
      <c:valAx>
        <c:axId val="576154400"/>
        <c:scaling>
          <c:orientation val="minMax"/>
        </c:scaling>
        <c:delete val="0"/>
        <c:axPos val="l"/>
        <c:majorGridlines>
          <c:spPr>
            <a:ln w="9525" cap="flat" cmpd="sng" algn="ctr">
              <a:solidFill>
                <a:schemeClr val="dk1">
                  <a:lumMod val="15000"/>
                  <a:lumOff val="85000"/>
                </a:schemeClr>
              </a:solidFill>
              <a:round/>
            </a:ln>
            <a:effectLst/>
          </c:spPr>
        </c:majorGridlines>
        <c:numFmt formatCode="0.0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46240"/>
        <c:crosses val="autoZero"/>
        <c:crossBetween val="between"/>
        <c:majorUnit val="1500"/>
      </c:valAx>
      <c:spPr>
        <a:pattFill prst="ltDnDiag">
          <a:fgClr>
            <a:schemeClr val="dk1">
              <a:lumMod val="15000"/>
              <a:lumOff val="85000"/>
            </a:schemeClr>
          </a:fgClr>
          <a:bgClr>
            <a:schemeClr val="lt1"/>
          </a:bgClr>
        </a:pattFill>
        <a:ln>
          <a:noFill/>
        </a:ln>
        <a:effectLst/>
      </c:spPr>
    </c:plotArea>
    <c:legend>
      <c:legendPos val="b"/>
      <c:layout>
        <c:manualLayout>
          <c:xMode val="edge"/>
          <c:yMode val="edge"/>
          <c:x val="4.999997445940349E-2"/>
          <c:y val="0.88192203609417652"/>
          <c:w val="0.8999998808105496"/>
          <c:h val="5.3020336446195665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dk1">
                  <a:lumMod val="65000"/>
                  <a:lumOff val="35000"/>
                </a:schemeClr>
              </a:solidFill>
              <a:latin typeface="Darwin" panose="02000000000000000000" pitchFamily="50" charset="0"/>
              <a:ea typeface="+mn-ea"/>
              <a:cs typeface="+mn-cs"/>
            </a:defRPr>
          </a:pPr>
          <a:endParaRPr lang="fr-FR"/>
        </a:p>
      </c:txPr>
    </c:legend>
    <c:plotVisOnly val="1"/>
    <c:dispBlanksAs val="gap"/>
    <c:showDLblsOverMax val="0"/>
  </c:chart>
  <c:spPr>
    <a:solidFill>
      <a:schemeClr val="lt1"/>
    </a:solidFill>
    <a:ln w="9525" cap="flat" cmpd="sng" algn="ctr">
      <a:noFill/>
      <a:round/>
    </a:ln>
    <a:effectLst/>
  </c:spPr>
  <c:txPr>
    <a:bodyPr/>
    <a:lstStyle/>
    <a:p>
      <a:pPr>
        <a:defRPr/>
      </a:pPr>
      <a:endParaRPr lang="fr-FR"/>
    </a:p>
  </c:txPr>
  <c:printSettings>
    <c:headerFooter/>
    <c:pageMargins b="0.75000000000000044" l="0.7000000000000004" r="0.7000000000000004" t="0.75000000000000044" header="0.30000000000000021" footer="0.3000000000000002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Cout d'investissement matériel</a:t>
            </a:r>
          </a:p>
        </c:rich>
      </c:tx>
      <c:layout/>
      <c:overlay val="1"/>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4709056435182249"/>
          <c:y val="0.14971503904330319"/>
          <c:w val="0.80299251870324151"/>
          <c:h val="0.66744658172247751"/>
        </c:manualLayout>
      </c:layout>
      <c:barChart>
        <c:barDir val="col"/>
        <c:grouping val="stacked"/>
        <c:varyColors val="0"/>
        <c:ser>
          <c:idx val="0"/>
          <c:order val="0"/>
          <c:tx>
            <c:strRef>
              <c:f>'Calcul rentabilité VMC'!$C$412</c:f>
              <c:strCache>
                <c:ptCount val="1"/>
                <c:pt idx="0">
                  <c:v>Investissement caisson</c:v>
                </c:pt>
              </c:strCache>
            </c:strRef>
          </c:tx>
          <c:spPr>
            <a:solidFill>
              <a:schemeClr val="accent4">
                <a:shade val="65000"/>
              </a:schemeClr>
            </a:solidFill>
            <a:ln>
              <a:noFill/>
            </a:ln>
            <a:effectLst/>
          </c:spPr>
          <c:invertIfNegative val="0"/>
          <c:cat>
            <c:strLit>
              <c:ptCount val="1"/>
              <c:pt idx="0">
                <c:v>Solution de base</c:v>
              </c:pt>
            </c:strLit>
          </c:cat>
          <c:val>
            <c:numRef>
              <c:f>'Calcul rentabilité VMC'!$E$412</c:f>
              <c:numCache>
                <c:formatCode>0.00</c:formatCode>
                <c:ptCount val="1"/>
                <c:pt idx="0">
                  <c:v>3210.6619999999998</c:v>
                </c:pt>
              </c:numCache>
            </c:numRef>
          </c:val>
        </c:ser>
        <c:ser>
          <c:idx val="1"/>
          <c:order val="1"/>
          <c:tx>
            <c:strRef>
              <c:f>'Calcul rentabilité VMC'!$C$413</c:f>
              <c:strCache>
                <c:ptCount val="1"/>
                <c:pt idx="0">
                  <c:v>Investissement réseau</c:v>
                </c:pt>
              </c:strCache>
            </c:strRef>
          </c:tx>
          <c:spPr>
            <a:solidFill>
              <a:schemeClr val="accent4"/>
            </a:solidFill>
            <a:ln>
              <a:noFill/>
            </a:ln>
            <a:effectLst/>
          </c:spPr>
          <c:invertIfNegative val="0"/>
          <c:cat>
            <c:strLit>
              <c:ptCount val="1"/>
              <c:pt idx="0">
                <c:v>Solution de base</c:v>
              </c:pt>
            </c:strLit>
          </c:cat>
          <c:val>
            <c:numRef>
              <c:f>'Calcul rentabilité VMC'!$E$413</c:f>
              <c:numCache>
                <c:formatCode>0.00</c:formatCode>
                <c:ptCount val="1"/>
                <c:pt idx="0">
                  <c:v>2780</c:v>
                </c:pt>
              </c:numCache>
            </c:numRef>
          </c:val>
        </c:ser>
        <c:ser>
          <c:idx val="2"/>
          <c:order val="2"/>
          <c:tx>
            <c:strRef>
              <c:f>'Calcul rentabilité VMC'!$C$414</c:f>
              <c:strCache>
                <c:ptCount val="1"/>
                <c:pt idx="0">
                  <c:v>Investissement puits canadien</c:v>
                </c:pt>
              </c:strCache>
            </c:strRef>
          </c:tx>
          <c:spPr>
            <a:solidFill>
              <a:schemeClr val="accent4">
                <a:tint val="65000"/>
              </a:schemeClr>
            </a:solidFill>
            <a:ln>
              <a:noFill/>
            </a:ln>
            <a:effectLst/>
          </c:spPr>
          <c:invertIfNegative val="0"/>
          <c:cat>
            <c:strLit>
              <c:ptCount val="1"/>
              <c:pt idx="0">
                <c:v>Solution de base</c:v>
              </c:pt>
            </c:strLit>
          </c:cat>
          <c:val>
            <c:numRef>
              <c:f>'Calcul rentabilité VMC'!$E$414</c:f>
              <c:numCache>
                <c:formatCode>0.00</c:formatCode>
                <c:ptCount val="1"/>
                <c:pt idx="0">
                  <c:v>0</c:v>
                </c:pt>
              </c:numCache>
            </c:numRef>
          </c:val>
        </c:ser>
        <c:dLbls>
          <c:showLegendKey val="0"/>
          <c:showVal val="0"/>
          <c:showCatName val="0"/>
          <c:showSerName val="0"/>
          <c:showPercent val="0"/>
          <c:showBubbleSize val="0"/>
        </c:dLbls>
        <c:gapWidth val="150"/>
        <c:overlap val="100"/>
        <c:axId val="576144064"/>
        <c:axId val="576158208"/>
      </c:barChart>
      <c:catAx>
        <c:axId val="57614406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fr-FR"/>
          </a:p>
        </c:txPr>
        <c:crossAx val="576158208"/>
        <c:crosses val="autoZero"/>
        <c:auto val="1"/>
        <c:lblAlgn val="ctr"/>
        <c:lblOffset val="100"/>
        <c:noMultiLvlLbl val="0"/>
      </c:catAx>
      <c:valAx>
        <c:axId val="576158208"/>
        <c:scaling>
          <c:orientation val="minMax"/>
        </c:scaling>
        <c:delete val="0"/>
        <c:axPos val="l"/>
        <c:majorGridlines>
          <c:spPr>
            <a:ln w="9525" cap="flat" cmpd="sng" algn="ctr">
              <a:solidFill>
                <a:schemeClr val="dk1">
                  <a:lumMod val="15000"/>
                  <a:lumOff val="85000"/>
                </a:schemeClr>
              </a:solidFill>
              <a:round/>
            </a:ln>
            <a:effectLst/>
          </c:spPr>
        </c:majorGridlines>
        <c:numFmt formatCode="0.0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Darwin" panose="02000000000000000000" pitchFamily="50" charset="0"/>
                <a:ea typeface="+mn-ea"/>
                <a:cs typeface="+mn-cs"/>
              </a:defRPr>
            </a:pPr>
            <a:endParaRPr lang="fr-FR"/>
          </a:p>
        </c:txPr>
        <c:crossAx val="576144064"/>
        <c:crosses val="autoZero"/>
        <c:crossBetween val="between"/>
        <c:majorUnit val="2500"/>
      </c:valAx>
      <c:spPr>
        <a:pattFill prst="ltDnDiag">
          <a:fgClr>
            <a:schemeClr val="dk1">
              <a:lumMod val="15000"/>
              <a:lumOff val="85000"/>
            </a:schemeClr>
          </a:fgClr>
          <a:bgClr>
            <a:schemeClr val="lt1"/>
          </a:bgClr>
        </a:patt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Darwin" panose="02000000000000000000" pitchFamily="50" charset="0"/>
              <a:ea typeface="+mn-ea"/>
              <a:cs typeface="+mn-cs"/>
            </a:defRPr>
          </a:pPr>
          <a:endParaRPr lang="fr-FR"/>
        </a:p>
      </c:txPr>
    </c:legend>
    <c:plotVisOnly val="1"/>
    <c:dispBlanksAs val="gap"/>
    <c:showDLblsOverMax val="0"/>
  </c:chart>
  <c:spPr>
    <a:solidFill>
      <a:schemeClr val="lt1"/>
    </a:solidFill>
    <a:ln w="9525" cap="flat" cmpd="sng" algn="ctr">
      <a:noFill/>
      <a:round/>
    </a:ln>
    <a:effectLst/>
  </c:spPr>
  <c:txPr>
    <a:bodyPr/>
    <a:lstStyle/>
    <a:p>
      <a:pPr>
        <a:defRPr/>
      </a:pPr>
      <a:endParaRPr lang="fr-FR"/>
    </a:p>
  </c:txPr>
  <c:printSettings>
    <c:headerFooter/>
    <c:pageMargins b="0.75000000000000078" l="0.70000000000000062" r="0.70000000000000062" t="0.7500000000000007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r>
              <a:rPr lang="fr-FR">
                <a:latin typeface="Darwin" panose="02000000000000000000" pitchFamily="50" charset="0"/>
              </a:rPr>
              <a:t>Incidence longueur conduits neuf/rejet sur un rendement thermique (de base 100%)</a:t>
            </a:r>
          </a:p>
        </c:rich>
      </c:tx>
      <c:layout>
        <c:manualLayout>
          <c:xMode val="edge"/>
          <c:yMode val="edge"/>
          <c:x val="0.17562327936391814"/>
          <c:y val="2.102179088079107E-3"/>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Darwin" panose="02000000000000000000" pitchFamily="50" charset="0"/>
              <a:ea typeface="+mj-ea"/>
              <a:cs typeface="+mj-cs"/>
            </a:defRPr>
          </a:pPr>
          <a:endParaRPr lang="fr-FR"/>
        </a:p>
      </c:txPr>
    </c:title>
    <c:autoTitleDeleted val="0"/>
    <c:plotArea>
      <c:layout>
        <c:manualLayout>
          <c:layoutTarget val="inner"/>
          <c:xMode val="edge"/>
          <c:yMode val="edge"/>
          <c:x val="0.1327272755211959"/>
          <c:y val="0.27048041163275988"/>
          <c:w val="0.82466376648129447"/>
          <c:h val="0.70850111493506507"/>
        </c:manualLayout>
      </c:layout>
      <c:lineChart>
        <c:grouping val="standard"/>
        <c:varyColors val="0"/>
        <c:ser>
          <c:idx val="0"/>
          <c:order val="0"/>
          <c:tx>
            <c:strRef>
              <c:f>'Calcul rentabilité VMC'!$AQ$15</c:f>
              <c:strCache>
                <c:ptCount val="1"/>
                <c:pt idx="0">
                  <c:v>sans isolation</c:v>
                </c:pt>
              </c:strCache>
            </c:strRef>
          </c:tx>
          <c:spPr>
            <a:ln w="22225" cap="rnd">
              <a:solidFill>
                <a:schemeClr val="accent1"/>
              </a:solidFill>
              <a:round/>
            </a:ln>
            <a:effectLst/>
          </c:spPr>
          <c:marker>
            <c:symbol val="none"/>
          </c:marker>
          <c:cat>
            <c:numRef>
              <c:f>'Calcul rentabilité VMC'!$AP$16:$AP$24</c:f>
              <c:numCache>
                <c:formatCode>General</c:formatCode>
                <c:ptCount val="9"/>
                <c:pt idx="0">
                  <c:v>0</c:v>
                </c:pt>
                <c:pt idx="1">
                  <c:v>1</c:v>
                </c:pt>
                <c:pt idx="2">
                  <c:v>2</c:v>
                </c:pt>
                <c:pt idx="3">
                  <c:v>3</c:v>
                </c:pt>
                <c:pt idx="4">
                  <c:v>4</c:v>
                </c:pt>
                <c:pt idx="5">
                  <c:v>5</c:v>
                </c:pt>
                <c:pt idx="6">
                  <c:v>6</c:v>
                </c:pt>
                <c:pt idx="7">
                  <c:v>7</c:v>
                </c:pt>
                <c:pt idx="8">
                  <c:v>8</c:v>
                </c:pt>
              </c:numCache>
            </c:numRef>
          </c:cat>
          <c:val>
            <c:numRef>
              <c:f>'Calcul rentabilité VMC'!$AQ$16:$AQ$24</c:f>
              <c:numCache>
                <c:formatCode>General</c:formatCode>
                <c:ptCount val="9"/>
                <c:pt idx="0">
                  <c:v>0</c:v>
                </c:pt>
                <c:pt idx="1">
                  <c:v>-4.6999999999999931E-2</c:v>
                </c:pt>
                <c:pt idx="2">
                  <c:v>-9.2999999999999972E-2</c:v>
                </c:pt>
                <c:pt idx="3">
                  <c:v>-0.1399999999999999</c:v>
                </c:pt>
                <c:pt idx="4">
                  <c:v>-0.18699999999999994</c:v>
                </c:pt>
                <c:pt idx="5">
                  <c:v>-0.23299999999999998</c:v>
                </c:pt>
                <c:pt idx="6">
                  <c:v>-0.27999999999999992</c:v>
                </c:pt>
                <c:pt idx="7">
                  <c:v>-0.32599999999999996</c:v>
                </c:pt>
                <c:pt idx="8">
                  <c:v>-0.373</c:v>
                </c:pt>
              </c:numCache>
            </c:numRef>
          </c:val>
          <c:smooth val="0"/>
        </c:ser>
        <c:ser>
          <c:idx val="1"/>
          <c:order val="1"/>
          <c:tx>
            <c:strRef>
              <c:f>'Calcul rentabilité VMC'!$AR$15</c:f>
              <c:strCache>
                <c:ptCount val="1"/>
                <c:pt idx="0">
                  <c:v>25 mm isolation</c:v>
                </c:pt>
              </c:strCache>
            </c:strRef>
          </c:tx>
          <c:spPr>
            <a:ln w="22225" cap="rnd">
              <a:solidFill>
                <a:schemeClr val="accent2"/>
              </a:solidFill>
              <a:round/>
            </a:ln>
            <a:effectLst/>
          </c:spPr>
          <c:marker>
            <c:symbol val="none"/>
          </c:marker>
          <c:cat>
            <c:numRef>
              <c:f>'Calcul rentabilité VMC'!$AP$16:$AP$24</c:f>
              <c:numCache>
                <c:formatCode>General</c:formatCode>
                <c:ptCount val="9"/>
                <c:pt idx="0">
                  <c:v>0</c:v>
                </c:pt>
                <c:pt idx="1">
                  <c:v>1</c:v>
                </c:pt>
                <c:pt idx="2">
                  <c:v>2</c:v>
                </c:pt>
                <c:pt idx="3">
                  <c:v>3</c:v>
                </c:pt>
                <c:pt idx="4">
                  <c:v>4</c:v>
                </c:pt>
                <c:pt idx="5">
                  <c:v>5</c:v>
                </c:pt>
                <c:pt idx="6">
                  <c:v>6</c:v>
                </c:pt>
                <c:pt idx="7">
                  <c:v>7</c:v>
                </c:pt>
                <c:pt idx="8">
                  <c:v>8</c:v>
                </c:pt>
              </c:numCache>
            </c:numRef>
          </c:cat>
          <c:val>
            <c:numRef>
              <c:f>'Calcul rentabilité VMC'!$AR$16:$AR$24</c:f>
              <c:numCache>
                <c:formatCode>General</c:formatCode>
                <c:ptCount val="9"/>
                <c:pt idx="0">
                  <c:v>0</c:v>
                </c:pt>
                <c:pt idx="1">
                  <c:v>-1.3999999999999901E-2</c:v>
                </c:pt>
                <c:pt idx="2">
                  <c:v>-2.6999999999999913E-2</c:v>
                </c:pt>
                <c:pt idx="3">
                  <c:v>-4.0999999999999925E-2</c:v>
                </c:pt>
                <c:pt idx="4">
                  <c:v>-5.3999999999999937E-2</c:v>
                </c:pt>
                <c:pt idx="5">
                  <c:v>-6.7999999999999949E-2</c:v>
                </c:pt>
                <c:pt idx="6">
                  <c:v>-8.0999999999999961E-2</c:v>
                </c:pt>
                <c:pt idx="7">
                  <c:v>-9.4999999999999973E-2</c:v>
                </c:pt>
                <c:pt idx="8">
                  <c:v>-0.10799999999999998</c:v>
                </c:pt>
              </c:numCache>
            </c:numRef>
          </c:val>
          <c:smooth val="0"/>
        </c:ser>
        <c:ser>
          <c:idx val="2"/>
          <c:order val="2"/>
          <c:tx>
            <c:strRef>
              <c:f>'Calcul rentabilité VMC'!$AS$15</c:f>
              <c:strCache>
                <c:ptCount val="1"/>
                <c:pt idx="0">
                  <c:v>50 mm isolation</c:v>
                </c:pt>
              </c:strCache>
            </c:strRef>
          </c:tx>
          <c:spPr>
            <a:ln w="22225" cap="rnd">
              <a:solidFill>
                <a:schemeClr val="accent3"/>
              </a:solidFill>
              <a:round/>
            </a:ln>
            <a:effectLst/>
          </c:spPr>
          <c:marker>
            <c:symbol val="none"/>
          </c:marker>
          <c:cat>
            <c:numRef>
              <c:f>'Calcul rentabilité VMC'!$AP$16:$AP$24</c:f>
              <c:numCache>
                <c:formatCode>General</c:formatCode>
                <c:ptCount val="9"/>
                <c:pt idx="0">
                  <c:v>0</c:v>
                </c:pt>
                <c:pt idx="1">
                  <c:v>1</c:v>
                </c:pt>
                <c:pt idx="2">
                  <c:v>2</c:v>
                </c:pt>
                <c:pt idx="3">
                  <c:v>3</c:v>
                </c:pt>
                <c:pt idx="4">
                  <c:v>4</c:v>
                </c:pt>
                <c:pt idx="5">
                  <c:v>5</c:v>
                </c:pt>
                <c:pt idx="6">
                  <c:v>6</c:v>
                </c:pt>
                <c:pt idx="7">
                  <c:v>7</c:v>
                </c:pt>
                <c:pt idx="8">
                  <c:v>8</c:v>
                </c:pt>
              </c:numCache>
            </c:numRef>
          </c:cat>
          <c:val>
            <c:numRef>
              <c:f>'Calcul rentabilité VMC'!$AS$16:$AS$24</c:f>
              <c:numCache>
                <c:formatCode>General</c:formatCode>
                <c:ptCount val="9"/>
                <c:pt idx="0">
                  <c:v>0</c:v>
                </c:pt>
                <c:pt idx="1">
                  <c:v>-9.000000000000008E-3</c:v>
                </c:pt>
                <c:pt idx="2">
                  <c:v>-1.6999999999999904E-2</c:v>
                </c:pt>
                <c:pt idx="3">
                  <c:v>-2.5999999999999912E-2</c:v>
                </c:pt>
                <c:pt idx="4">
                  <c:v>-3.499999999999992E-2</c:v>
                </c:pt>
                <c:pt idx="5">
                  <c:v>-4.3999999999999928E-2</c:v>
                </c:pt>
                <c:pt idx="6">
                  <c:v>-5.1999999999999935E-2</c:v>
                </c:pt>
                <c:pt idx="7">
                  <c:v>-6.0999999999999943E-2</c:v>
                </c:pt>
                <c:pt idx="8">
                  <c:v>-6.9999999999999951E-2</c:v>
                </c:pt>
              </c:numCache>
            </c:numRef>
          </c:val>
          <c:smooth val="0"/>
        </c:ser>
        <c:ser>
          <c:idx val="3"/>
          <c:order val="3"/>
          <c:tx>
            <c:strRef>
              <c:f>'Calcul rentabilité VMC'!$AT$15</c:f>
              <c:strCache>
                <c:ptCount val="1"/>
                <c:pt idx="0">
                  <c:v>100 mm isolation</c:v>
                </c:pt>
              </c:strCache>
            </c:strRef>
          </c:tx>
          <c:spPr>
            <a:ln w="22225" cap="rnd">
              <a:solidFill>
                <a:schemeClr val="accent4"/>
              </a:solidFill>
              <a:round/>
            </a:ln>
            <a:effectLst/>
          </c:spPr>
          <c:marker>
            <c:symbol val="none"/>
          </c:marker>
          <c:cat>
            <c:numRef>
              <c:f>'Calcul rentabilité VMC'!$AP$16:$AP$24</c:f>
              <c:numCache>
                <c:formatCode>General</c:formatCode>
                <c:ptCount val="9"/>
                <c:pt idx="0">
                  <c:v>0</c:v>
                </c:pt>
                <c:pt idx="1">
                  <c:v>1</c:v>
                </c:pt>
                <c:pt idx="2">
                  <c:v>2</c:v>
                </c:pt>
                <c:pt idx="3">
                  <c:v>3</c:v>
                </c:pt>
                <c:pt idx="4">
                  <c:v>4</c:v>
                </c:pt>
                <c:pt idx="5">
                  <c:v>5</c:v>
                </c:pt>
                <c:pt idx="6">
                  <c:v>6</c:v>
                </c:pt>
                <c:pt idx="7">
                  <c:v>7</c:v>
                </c:pt>
                <c:pt idx="8">
                  <c:v>8</c:v>
                </c:pt>
              </c:numCache>
            </c:numRef>
          </c:cat>
          <c:val>
            <c:numRef>
              <c:f>'Calcul rentabilité VMC'!$AT$16:$AT$24</c:f>
              <c:numCache>
                <c:formatCode>General</c:formatCode>
                <c:ptCount val="9"/>
                <c:pt idx="0">
                  <c:v>0</c:v>
                </c:pt>
                <c:pt idx="1">
                  <c:v>-6.0000000000000053E-3</c:v>
                </c:pt>
                <c:pt idx="2">
                  <c:v>-1.100000000000001E-2</c:v>
                </c:pt>
                <c:pt idx="3">
                  <c:v>-1.6999999999999904E-2</c:v>
                </c:pt>
                <c:pt idx="4">
                  <c:v>-2.2999999999999909E-2</c:v>
                </c:pt>
                <c:pt idx="5">
                  <c:v>-2.7999999999999914E-2</c:v>
                </c:pt>
                <c:pt idx="6">
                  <c:v>-3.3999999999999919E-2</c:v>
                </c:pt>
                <c:pt idx="7">
                  <c:v>-3.9999999999999925E-2</c:v>
                </c:pt>
                <c:pt idx="8">
                  <c:v>-4.4999999999999929E-2</c:v>
                </c:pt>
              </c:numCache>
            </c:numRef>
          </c:val>
          <c:smooth val="0"/>
        </c:ser>
        <c:dLbls>
          <c:showLegendKey val="0"/>
          <c:showVal val="0"/>
          <c:showCatName val="0"/>
          <c:showSerName val="0"/>
          <c:showPercent val="0"/>
          <c:showBubbleSize val="0"/>
        </c:dLbls>
        <c:smooth val="0"/>
        <c:axId val="576136992"/>
        <c:axId val="576137536"/>
      </c:lineChart>
      <c:catAx>
        <c:axId val="576136992"/>
        <c:scaling>
          <c:orientation val="minMax"/>
        </c:scaling>
        <c:delete val="0"/>
        <c:axPos val="t"/>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fr-FR"/>
          </a:p>
        </c:txPr>
        <c:crossAx val="576137536"/>
        <c:crosses val="max"/>
        <c:auto val="1"/>
        <c:lblAlgn val="ctr"/>
        <c:lblOffset val="100"/>
        <c:noMultiLvlLbl val="0"/>
      </c:catAx>
      <c:valAx>
        <c:axId val="576137536"/>
        <c:scaling>
          <c:orientation val="minMax"/>
          <c:max val="0"/>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crossAx val="576136992"/>
        <c:crosses val="autoZero"/>
        <c:crossBetween val="between"/>
        <c:majorUnit val="0.05"/>
      </c:valAx>
      <c:spPr>
        <a:pattFill prst="ltDnDiag">
          <a:fgClr>
            <a:schemeClr val="dk1">
              <a:lumMod val="15000"/>
              <a:lumOff val="85000"/>
            </a:schemeClr>
          </a:fgClr>
          <a:bgClr>
            <a:schemeClr val="lt1"/>
          </a:bgClr>
        </a:patt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fr-FR"/>
        </a:p>
      </c:txPr>
    </c:legend>
    <c:plotVisOnly val="1"/>
    <c:dispBlanksAs val="gap"/>
    <c:showDLblsOverMax val="0"/>
  </c:chart>
  <c:spPr>
    <a:solidFill>
      <a:schemeClr val="lt1"/>
    </a:solidFill>
    <a:ln w="9525" cap="flat" cmpd="sng" algn="ctr">
      <a:noFill/>
      <a:round/>
    </a:ln>
    <a:effectLst/>
  </c:spPr>
  <c:txPr>
    <a:bodyPr/>
    <a:lstStyle/>
    <a:p>
      <a:pPr>
        <a:defRPr/>
      </a:pPr>
      <a:endParaRPr lang="fr-FR"/>
    </a:p>
  </c:txPr>
  <c:printSettings>
    <c:headerFooter/>
    <c:pageMargins b="0.750000000000002" l="0.70000000000000062" r="0.70000000000000062" t="0.750000000000002"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7">
  <a:schemeClr val="accent4"/>
</cs:colorStyle>
</file>

<file path=xl/charts/colors8.xml><?xml version="1.0" encoding="utf-8"?>
<cs:colorStyle xmlns:cs="http://schemas.microsoft.com/office/drawing/2012/chartStyle" xmlns:a="http://schemas.openxmlformats.org/drawingml/2006/main" meth="withinLinear" id="17">
  <a:schemeClr val="accent4"/>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10.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8.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9.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image" Target="../media/image6.emf"/><Relationship Id="rId18" Type="http://schemas.openxmlformats.org/officeDocument/2006/relationships/image" Target="../media/image8.png"/><Relationship Id="rId3" Type="http://schemas.openxmlformats.org/officeDocument/2006/relationships/chart" Target="../charts/chart2.xml"/><Relationship Id="rId21" Type="http://schemas.openxmlformats.org/officeDocument/2006/relationships/chart" Target="../charts/chart11.xml"/><Relationship Id="rId7" Type="http://schemas.openxmlformats.org/officeDocument/2006/relationships/chart" Target="../charts/chart6.xml"/><Relationship Id="rId12" Type="http://schemas.openxmlformats.org/officeDocument/2006/relationships/image" Target="../media/image5.jpeg"/><Relationship Id="rId17" Type="http://schemas.openxmlformats.org/officeDocument/2006/relationships/hyperlink" Target="http://www.fiabitat.com/" TargetMode="External"/><Relationship Id="rId2" Type="http://schemas.openxmlformats.org/officeDocument/2006/relationships/chart" Target="../charts/chart1.xml"/><Relationship Id="rId16" Type="http://schemas.openxmlformats.org/officeDocument/2006/relationships/image" Target="../media/image7.png"/><Relationship Id="rId20" Type="http://schemas.openxmlformats.org/officeDocument/2006/relationships/chart" Target="../charts/chart10.xml"/><Relationship Id="rId1" Type="http://schemas.openxmlformats.org/officeDocument/2006/relationships/image" Target="../media/image2.png"/><Relationship Id="rId6" Type="http://schemas.openxmlformats.org/officeDocument/2006/relationships/chart" Target="../charts/chart5.xml"/><Relationship Id="rId11" Type="http://schemas.openxmlformats.org/officeDocument/2006/relationships/chart" Target="../charts/chart8.xml"/><Relationship Id="rId5" Type="http://schemas.openxmlformats.org/officeDocument/2006/relationships/chart" Target="../charts/chart4.xml"/><Relationship Id="rId15" Type="http://schemas.openxmlformats.org/officeDocument/2006/relationships/hyperlink" Target="http://www.fiabishop.com" TargetMode="External"/><Relationship Id="rId10" Type="http://schemas.openxmlformats.org/officeDocument/2006/relationships/image" Target="../media/image4.wmf"/><Relationship Id="rId19" Type="http://schemas.openxmlformats.org/officeDocument/2006/relationships/image" Target="../media/image9.png"/><Relationship Id="rId4" Type="http://schemas.openxmlformats.org/officeDocument/2006/relationships/chart" Target="../charts/chart3.xml"/><Relationship Id="rId9" Type="http://schemas.openxmlformats.org/officeDocument/2006/relationships/image" Target="../media/image3.wmf"/><Relationship Id="rId14" Type="http://schemas.openxmlformats.org/officeDocument/2006/relationships/chart" Target="../charts/chart9.xml"/></Relationships>
</file>

<file path=xl/drawings/_rels/drawing2.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5" Type="http://schemas.openxmlformats.org/officeDocument/2006/relationships/image" Target="../media/image14.png"/><Relationship Id="rId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xdr:from>
      <xdr:col>1</xdr:col>
      <xdr:colOff>933450</xdr:colOff>
      <xdr:row>503</xdr:row>
      <xdr:rowOff>66674</xdr:rowOff>
    </xdr:from>
    <xdr:to>
      <xdr:col>10</xdr:col>
      <xdr:colOff>135755</xdr:colOff>
      <xdr:row>515</xdr:row>
      <xdr:rowOff>28574</xdr:rowOff>
    </xdr:to>
    <xdr:pic>
      <xdr:nvPicPr>
        <xdr:cNvPr id="63" name="Image 62" descr="debit zehnder comfoAir 3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105060749"/>
          <a:ext cx="7003280" cy="236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76200</xdr:colOff>
      <xdr:row>181</xdr:row>
      <xdr:rowOff>0</xdr:rowOff>
    </xdr:from>
    <xdr:to>
      <xdr:col>5</xdr:col>
      <xdr:colOff>581025</xdr:colOff>
      <xdr:row>204</xdr:row>
      <xdr:rowOff>47625</xdr:rowOff>
    </xdr:to>
    <xdr:graphicFrame macro="">
      <xdr:nvGraphicFramePr>
        <xdr:cNvPr id="1750229"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181</xdr:row>
      <xdr:rowOff>0</xdr:rowOff>
    </xdr:from>
    <xdr:to>
      <xdr:col>12</xdr:col>
      <xdr:colOff>409575</xdr:colOff>
      <xdr:row>204</xdr:row>
      <xdr:rowOff>47625</xdr:rowOff>
    </xdr:to>
    <xdr:graphicFrame macro="">
      <xdr:nvGraphicFramePr>
        <xdr:cNvPr id="1750230"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400050</xdr:colOff>
      <xdr:row>181</xdr:row>
      <xdr:rowOff>0</xdr:rowOff>
    </xdr:from>
    <xdr:to>
      <xdr:col>16</xdr:col>
      <xdr:colOff>1304925</xdr:colOff>
      <xdr:row>204</xdr:row>
      <xdr:rowOff>57150</xdr:rowOff>
    </xdr:to>
    <xdr:graphicFrame macro="">
      <xdr:nvGraphicFramePr>
        <xdr:cNvPr id="1750231"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573405</xdr:colOff>
      <xdr:row>206</xdr:row>
      <xdr:rowOff>41909</xdr:rowOff>
    </xdr:from>
    <xdr:to>
      <xdr:col>12</xdr:col>
      <xdr:colOff>301003</xdr:colOff>
      <xdr:row>208</xdr:row>
      <xdr:rowOff>944720</xdr:rowOff>
    </xdr:to>
    <xdr:sp macro="" textlink="">
      <xdr:nvSpPr>
        <xdr:cNvPr id="11" name="ZoneTexte 10"/>
        <xdr:cNvSpPr txBox="1"/>
      </xdr:nvSpPr>
      <xdr:spPr>
        <a:xfrm>
          <a:off x="3829050" y="15773399"/>
          <a:ext cx="4308021" cy="1289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050" u="sng">
              <a:latin typeface="Aril"/>
            </a:rPr>
            <a:t/>
          </a:r>
          <a:br>
            <a:rPr lang="fr-FR" sz="1050" u="sng">
              <a:latin typeface="Aril"/>
            </a:rPr>
          </a:br>
          <a:r>
            <a:rPr lang="fr-FR" sz="1050" b="1" u="sng">
              <a:latin typeface="Aril"/>
            </a:rPr>
            <a:t>Le</a:t>
          </a:r>
          <a:r>
            <a:rPr lang="fr-FR" sz="1050" b="1" u="sng" baseline="0">
              <a:latin typeface="Aril"/>
            </a:rPr>
            <a:t> bilan déperditif est basé sur le besoin de chauffage</a:t>
          </a:r>
          <a:endParaRPr lang="fr-FR" sz="1050" b="1" u="sng">
            <a:latin typeface="Aril"/>
          </a:endParaRPr>
        </a:p>
        <a:p>
          <a:r>
            <a:rPr lang="fr-FR" sz="1050">
              <a:latin typeface="Aril"/>
            </a:rPr>
            <a:t>Il compare</a:t>
          </a:r>
          <a:r>
            <a:rPr lang="fr-FR" sz="1050" baseline="0">
              <a:latin typeface="Aril"/>
            </a:rPr>
            <a:t> les niveaux de déperditions aérauliques dues à la ventilation et l'étanchéité à l'air, le calcul "projet" est comparé à des valeurs standards obtenues sur différentes démarches.</a:t>
          </a:r>
          <a:br>
            <a:rPr lang="fr-FR" sz="1050" baseline="0">
              <a:latin typeface="Aril"/>
            </a:rPr>
          </a:br>
          <a:r>
            <a:rPr lang="fr-FR" sz="1050" baseline="0">
              <a:latin typeface="Aril"/>
            </a:rPr>
            <a:t>Ex : vous voulez respecter une démarche passive. Tentez de descendre sous les 5 kWh/m².an</a:t>
          </a:r>
          <a:endParaRPr lang="fr-FR" sz="1050">
            <a:latin typeface="Aril"/>
          </a:endParaRPr>
        </a:p>
        <a:p>
          <a:endParaRPr lang="fr-FR" sz="1400">
            <a:solidFill>
              <a:schemeClr val="dk1"/>
            </a:solidFill>
            <a:latin typeface="+mn-lt"/>
            <a:ea typeface="+mn-ea"/>
            <a:cs typeface="+mn-cs"/>
          </a:endParaRPr>
        </a:p>
      </xdr:txBody>
    </xdr:sp>
    <xdr:clientData/>
  </xdr:twoCellAnchor>
  <xdr:twoCellAnchor>
    <xdr:from>
      <xdr:col>1</xdr:col>
      <xdr:colOff>76200</xdr:colOff>
      <xdr:row>206</xdr:row>
      <xdr:rowOff>51435</xdr:rowOff>
    </xdr:from>
    <xdr:to>
      <xdr:col>5</xdr:col>
      <xdr:colOff>457200</xdr:colOff>
      <xdr:row>208</xdr:row>
      <xdr:rowOff>925339</xdr:rowOff>
    </xdr:to>
    <xdr:sp macro="" textlink="">
      <xdr:nvSpPr>
        <xdr:cNvPr id="12" name="ZoneTexte 11"/>
        <xdr:cNvSpPr txBox="1"/>
      </xdr:nvSpPr>
      <xdr:spPr>
        <a:xfrm>
          <a:off x="348343" y="15773400"/>
          <a:ext cx="3347357"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050" u="sng">
              <a:latin typeface="Arial" panose="020B0604020202020204" pitchFamily="34" charset="0"/>
              <a:cs typeface="Arial" panose="020B0604020202020204" pitchFamily="34" charset="0"/>
            </a:rPr>
            <a:t/>
          </a:r>
          <a:br>
            <a:rPr lang="fr-FR" sz="1050" u="sng">
              <a:latin typeface="Arial" panose="020B0604020202020204" pitchFamily="34" charset="0"/>
              <a:cs typeface="Arial" panose="020B0604020202020204" pitchFamily="34" charset="0"/>
            </a:rPr>
          </a:br>
          <a:r>
            <a:rPr lang="fr-FR" sz="1050" b="1" u="sng">
              <a:latin typeface="Arial" panose="020B0604020202020204" pitchFamily="34" charset="0"/>
              <a:cs typeface="Arial" panose="020B0604020202020204" pitchFamily="34" charset="0"/>
            </a:rPr>
            <a:t>Le</a:t>
          </a:r>
          <a:r>
            <a:rPr lang="fr-FR" sz="1050" b="1" u="sng" baseline="0">
              <a:latin typeface="Arial" panose="020B0604020202020204" pitchFamily="34" charset="0"/>
              <a:cs typeface="Arial" panose="020B0604020202020204" pitchFamily="34" charset="0"/>
            </a:rPr>
            <a:t> bilan économique</a:t>
          </a:r>
          <a:endParaRPr lang="fr-FR" sz="1050" b="1" u="sng">
            <a:latin typeface="Arial" panose="020B0604020202020204" pitchFamily="34" charset="0"/>
            <a:cs typeface="Arial" panose="020B0604020202020204" pitchFamily="34" charset="0"/>
          </a:endParaRPr>
        </a:p>
        <a:p>
          <a:r>
            <a:rPr lang="fr-FR" sz="1050">
              <a:solidFill>
                <a:schemeClr val="dk1"/>
              </a:solidFill>
              <a:latin typeface="Arial" panose="020B0604020202020204" pitchFamily="34" charset="0"/>
              <a:ea typeface="+mn-ea"/>
              <a:cs typeface="Arial" panose="020B0604020202020204" pitchFamily="34" charset="0"/>
            </a:rPr>
            <a:t>Attention car le bilan économique</a:t>
          </a:r>
          <a:r>
            <a:rPr lang="fr-FR" sz="1050" baseline="0">
              <a:solidFill>
                <a:schemeClr val="dk1"/>
              </a:solidFill>
              <a:latin typeface="Arial" panose="020B0604020202020204" pitchFamily="34" charset="0"/>
              <a:ea typeface="+mn-ea"/>
              <a:cs typeface="Arial" panose="020B0604020202020204" pitchFamily="34" charset="0"/>
            </a:rPr>
            <a:t> est en grande partie lié au prix de l'énergie utilisé pour le chauffage. Ce paramètre peut faire varier du simple au double les économies de fonctionnement.</a:t>
          </a:r>
        </a:p>
        <a:p>
          <a:r>
            <a:rPr lang="fr-FR" sz="1050" baseline="0">
              <a:solidFill>
                <a:schemeClr val="dk1"/>
              </a:solidFill>
              <a:latin typeface="Arial" panose="020B0604020202020204" pitchFamily="34" charset="0"/>
              <a:ea typeface="+mn-ea"/>
              <a:cs typeface="Arial" panose="020B0604020202020204" pitchFamily="34" charset="0"/>
            </a:rPr>
            <a:t>Les économies du puits canadien incluent le rafraichissement estival (sauf si aucune surchauffe n'est indiquée)</a:t>
          </a:r>
        </a:p>
        <a:p>
          <a:endParaRPr lang="fr-FR" sz="1050" baseline="0">
            <a:solidFill>
              <a:schemeClr val="dk1"/>
            </a:solidFill>
            <a:latin typeface="+mn-lt"/>
            <a:ea typeface="+mn-ea"/>
            <a:cs typeface="+mn-cs"/>
          </a:endParaRPr>
        </a:p>
      </xdr:txBody>
    </xdr:sp>
    <xdr:clientData/>
  </xdr:twoCellAnchor>
  <xdr:twoCellAnchor>
    <xdr:from>
      <xdr:col>12</xdr:col>
      <xdr:colOff>421005</xdr:colOff>
      <xdr:row>206</xdr:row>
      <xdr:rowOff>38099</xdr:rowOff>
    </xdr:from>
    <xdr:to>
      <xdr:col>16</xdr:col>
      <xdr:colOff>1295402</xdr:colOff>
      <xdr:row>208</xdr:row>
      <xdr:rowOff>944721</xdr:rowOff>
    </xdr:to>
    <xdr:sp macro="" textlink="">
      <xdr:nvSpPr>
        <xdr:cNvPr id="13" name="ZoneTexte 12"/>
        <xdr:cNvSpPr txBox="1"/>
      </xdr:nvSpPr>
      <xdr:spPr>
        <a:xfrm>
          <a:off x="9410700" y="18249899"/>
          <a:ext cx="3724275" cy="13008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lang="fr-FR" sz="1050" b="1" u="sng">
              <a:latin typeface="Arial" panose="020B0604020202020204" pitchFamily="34" charset="0"/>
              <a:cs typeface="Arial" panose="020B0604020202020204" pitchFamily="34" charset="0"/>
            </a:rPr>
            <a:t>Zoom</a:t>
          </a:r>
          <a:r>
            <a:rPr lang="fr-FR" sz="1050" b="1" u="sng" baseline="0">
              <a:latin typeface="Arial" panose="020B0604020202020204" pitchFamily="34" charset="0"/>
              <a:cs typeface="Arial" panose="020B0604020202020204" pitchFamily="34" charset="0"/>
            </a:rPr>
            <a:t> sur les déperditions aérauliques</a:t>
          </a:r>
          <a:endParaRPr lang="fr-FR" sz="1050" b="1" u="sng">
            <a:latin typeface="Arial" panose="020B0604020202020204" pitchFamily="34" charset="0"/>
            <a:cs typeface="Arial" panose="020B0604020202020204" pitchFamily="34" charset="0"/>
          </a:endParaRPr>
        </a:p>
        <a:p>
          <a:r>
            <a:rPr lang="fr-FR" sz="1050" baseline="0">
              <a:solidFill>
                <a:schemeClr val="dk1"/>
              </a:solidFill>
              <a:latin typeface="Arial" panose="020B0604020202020204" pitchFamily="34" charset="0"/>
              <a:ea typeface="+mn-ea"/>
              <a:cs typeface="Arial" panose="020B0604020202020204" pitchFamily="34" charset="0"/>
            </a:rPr>
            <a:t>La valeur du bilan déperditif "projet" est détaillée pour faire ressortir la part des fuites d'étanchéité et celle due au système de ventilation.</a:t>
          </a:r>
          <a:br>
            <a:rPr lang="fr-FR" sz="1050" baseline="0">
              <a:solidFill>
                <a:schemeClr val="dk1"/>
              </a:solidFill>
              <a:latin typeface="Arial" panose="020B0604020202020204" pitchFamily="34" charset="0"/>
              <a:ea typeface="+mn-ea"/>
              <a:cs typeface="Arial" panose="020B0604020202020204" pitchFamily="34" charset="0"/>
            </a:rPr>
          </a:br>
          <a:r>
            <a:rPr lang="fr-FR" sz="1050" baseline="0">
              <a:solidFill>
                <a:schemeClr val="dk1"/>
              </a:solidFill>
              <a:latin typeface="Arial" panose="020B0604020202020204" pitchFamily="34" charset="0"/>
              <a:ea typeface="+mn-ea"/>
              <a:cs typeface="Arial" panose="020B0604020202020204" pitchFamily="34" charset="0"/>
            </a:rPr>
            <a:t>La valeur en % des gains RC correspond au bilan global VMC DF + puits canadien</a:t>
          </a:r>
        </a:p>
        <a:p>
          <a:endParaRPr lang="fr-FR" sz="1050" baseline="0">
            <a:solidFill>
              <a:schemeClr val="dk1"/>
            </a:solidFill>
            <a:latin typeface="+mn-lt"/>
            <a:ea typeface="+mn-ea"/>
            <a:cs typeface="+mn-cs"/>
          </a:endParaRPr>
        </a:p>
      </xdr:txBody>
    </xdr:sp>
    <xdr:clientData/>
  </xdr:twoCellAnchor>
  <xdr:twoCellAnchor>
    <xdr:from>
      <xdr:col>5</xdr:col>
      <xdr:colOff>819150</xdr:colOff>
      <xdr:row>282</xdr:row>
      <xdr:rowOff>123825</xdr:rowOff>
    </xdr:from>
    <xdr:to>
      <xdr:col>12</xdr:col>
      <xdr:colOff>676275</xdr:colOff>
      <xdr:row>309</xdr:row>
      <xdr:rowOff>85725</xdr:rowOff>
    </xdr:to>
    <xdr:graphicFrame macro="">
      <xdr:nvGraphicFramePr>
        <xdr:cNvPr id="1750235"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340434</xdr:colOff>
      <xdr:row>261</xdr:row>
      <xdr:rowOff>11205</xdr:rowOff>
    </xdr:from>
    <xdr:to>
      <xdr:col>9</xdr:col>
      <xdr:colOff>884475</xdr:colOff>
      <xdr:row>280</xdr:row>
      <xdr:rowOff>112059</xdr:rowOff>
    </xdr:to>
    <xdr:sp macro="" textlink="">
      <xdr:nvSpPr>
        <xdr:cNvPr id="15" name="ZoneTexte 14"/>
        <xdr:cNvSpPr txBox="1"/>
      </xdr:nvSpPr>
      <xdr:spPr>
        <a:xfrm>
          <a:off x="593911" y="48723176"/>
          <a:ext cx="6969259" cy="3933265"/>
        </a:xfrm>
        <a:prstGeom prst="rect">
          <a:avLst/>
        </a:prstGeom>
        <a:solidFill>
          <a:srgbClr val="FAFAF8"/>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fr-FR" sz="1050" u="sng">
            <a:latin typeface="Aril"/>
          </a:endParaRPr>
        </a:p>
        <a:p>
          <a:pPr algn="ctr"/>
          <a:r>
            <a:rPr lang="fr-FR" sz="1050" b="1" u="sng">
              <a:latin typeface="Aril"/>
            </a:rPr>
            <a:t>Mise en garde</a:t>
          </a:r>
        </a:p>
        <a:p>
          <a:endParaRPr lang="fr-FR" sz="1050" u="sng">
            <a:latin typeface="Aril"/>
          </a:endParaRPr>
        </a:p>
        <a:p>
          <a:r>
            <a:rPr lang="fr-FR" sz="1100" baseline="0">
              <a:solidFill>
                <a:schemeClr val="dk1"/>
              </a:solidFill>
              <a:latin typeface="Aril"/>
              <a:ea typeface="+mn-ea"/>
              <a:cs typeface="+mn-cs"/>
            </a:rPr>
            <a:t>Pour une juste comparaison entre caissons VMC double flux, attention à ne pas comparer des installations complètes fort différentes :</a:t>
          </a:r>
        </a:p>
        <a:p>
          <a:endParaRPr lang="fr-FR" sz="1100" baseline="0">
            <a:solidFill>
              <a:schemeClr val="dk1"/>
            </a:solidFill>
            <a:latin typeface="Aril"/>
            <a:ea typeface="+mn-ea"/>
            <a:cs typeface="+mn-cs"/>
          </a:endParaRPr>
        </a:p>
        <a:p>
          <a:r>
            <a:rPr lang="fr-FR" sz="1100" baseline="0">
              <a:solidFill>
                <a:schemeClr val="dk1"/>
              </a:solidFill>
              <a:latin typeface="Aril"/>
              <a:ea typeface="+mn-ea"/>
              <a:cs typeface="+mn-cs"/>
            </a:rPr>
            <a:t>Exemple : comparer le cout d'une VMC double flux avec réseau bas de gamme avec VMC double flux et réseau haut de gamme. Le " retour sur investissement "  de la deuxième solution s'en trouve plombé alors  mais la différence de qualité n'est pas comparable.</a:t>
          </a:r>
        </a:p>
        <a:p>
          <a:r>
            <a:rPr lang="fr-FR" sz="1100" baseline="0">
              <a:solidFill>
                <a:schemeClr val="dk1"/>
              </a:solidFill>
              <a:latin typeface="Aril"/>
              <a:ea typeface="+mn-ea"/>
              <a:cs typeface="+mn-cs"/>
            </a:rPr>
            <a:t>Préférer la comparaison en comparant les différences de prix des caissons, et comparer les réseaux sur une même base d'installation.</a:t>
          </a:r>
        </a:p>
        <a:p>
          <a:endParaRPr lang="fr-FR" sz="1100" baseline="0">
            <a:solidFill>
              <a:schemeClr val="dk1"/>
            </a:solidFill>
            <a:latin typeface="Aril"/>
            <a:ea typeface="+mn-ea"/>
            <a:cs typeface="+mn-cs"/>
          </a:endParaRPr>
        </a:p>
        <a:p>
          <a:r>
            <a:rPr lang="fr-FR" sz="1100" baseline="0">
              <a:solidFill>
                <a:schemeClr val="dk1"/>
              </a:solidFill>
              <a:latin typeface="Aril"/>
              <a:ea typeface="+mn-ea"/>
              <a:cs typeface="+mn-cs"/>
            </a:rPr>
            <a:t>Le retour sur investissement est une donnée à prendre avec des pincettes, il suffit de baisser le taux de renouvellement d'air pour que le RSI augmente (les gains de la vmc baissent), alors que les couts de fonctionnements baissent (car les déperditions baissent aussi). </a:t>
          </a:r>
        </a:p>
        <a:p>
          <a:endParaRPr lang="fr-FR" sz="1100" baseline="0">
            <a:solidFill>
              <a:schemeClr val="dk1"/>
            </a:solidFill>
            <a:latin typeface="Aril"/>
            <a:ea typeface="+mn-ea"/>
            <a:cs typeface="+mn-cs"/>
          </a:endParaRPr>
        </a:p>
        <a:p>
          <a:r>
            <a:rPr lang="fr-FR" sz="1100" baseline="0">
              <a:solidFill>
                <a:schemeClr val="dk1"/>
              </a:solidFill>
              <a:latin typeface="Aril"/>
              <a:ea typeface="+mn-ea"/>
              <a:cs typeface="+mn-cs"/>
            </a:rPr>
            <a:t>Sauf dans le cas d'un puits canadien, il est considéré pour les caissons une solution de dégivrage électrique, non basée sur une baisse temporaire des débits d'air soufflés. Cette solution, si elle est choisie minimise les consommations d'auxilliaires au détriment de la ventilation, il ne nous est pas apparu pertinent de le valoriser dans la feuille de calcul.</a:t>
          </a:r>
        </a:p>
        <a:p>
          <a:endParaRPr lang="fr-FR" sz="1050" baseline="0">
            <a:solidFill>
              <a:schemeClr val="dk1"/>
            </a:solidFill>
            <a:latin typeface="Aril"/>
            <a:ea typeface="+mn-ea"/>
            <a:cs typeface="+mn-cs"/>
          </a:endParaRPr>
        </a:p>
      </xdr:txBody>
    </xdr:sp>
    <xdr:clientData/>
  </xdr:twoCellAnchor>
  <xdr:twoCellAnchor>
    <xdr:from>
      <xdr:col>1</xdr:col>
      <xdr:colOff>180975</xdr:colOff>
      <xdr:row>282</xdr:row>
      <xdr:rowOff>123825</xdr:rowOff>
    </xdr:from>
    <xdr:to>
      <xdr:col>6</xdr:col>
      <xdr:colOff>38100</xdr:colOff>
      <xdr:row>309</xdr:row>
      <xdr:rowOff>95250</xdr:rowOff>
    </xdr:to>
    <xdr:graphicFrame macro="">
      <xdr:nvGraphicFramePr>
        <xdr:cNvPr id="1750237"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676275</xdr:colOff>
      <xdr:row>282</xdr:row>
      <xdr:rowOff>133350</xdr:rowOff>
    </xdr:from>
    <xdr:to>
      <xdr:col>16</xdr:col>
      <xdr:colOff>1390650</xdr:colOff>
      <xdr:row>309</xdr:row>
      <xdr:rowOff>85725</xdr:rowOff>
    </xdr:to>
    <xdr:graphicFrame macro="">
      <xdr:nvGraphicFramePr>
        <xdr:cNvPr id="1750238"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123825</xdr:colOff>
      <xdr:row>260</xdr:row>
      <xdr:rowOff>142875</xdr:rowOff>
    </xdr:from>
    <xdr:to>
      <xdr:col>16</xdr:col>
      <xdr:colOff>1323975</xdr:colOff>
      <xdr:row>282</xdr:row>
      <xdr:rowOff>0</xdr:rowOff>
    </xdr:to>
    <xdr:graphicFrame macro="">
      <xdr:nvGraphicFramePr>
        <xdr:cNvPr id="1750239"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738974</xdr:colOff>
      <xdr:row>485</xdr:row>
      <xdr:rowOff>144532</xdr:rowOff>
    </xdr:from>
    <xdr:to>
      <xdr:col>11</xdr:col>
      <xdr:colOff>865874</xdr:colOff>
      <xdr:row>485</xdr:row>
      <xdr:rowOff>148673</xdr:rowOff>
    </xdr:to>
    <xdr:cxnSp macro="">
      <xdr:nvCxnSpPr>
        <xdr:cNvPr id="18" name="Connecteur droit avec flèche 17"/>
        <xdr:cNvCxnSpPr/>
      </xdr:nvCxnSpPr>
      <xdr:spPr>
        <a:xfrm flipV="1">
          <a:off x="6596849" y="101252407"/>
          <a:ext cx="2736750" cy="414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721250</xdr:colOff>
      <xdr:row>497</xdr:row>
      <xdr:rowOff>107673</xdr:rowOff>
    </xdr:from>
    <xdr:to>
      <xdr:col>11</xdr:col>
      <xdr:colOff>886272</xdr:colOff>
      <xdr:row>497</xdr:row>
      <xdr:rowOff>115955</xdr:rowOff>
    </xdr:to>
    <xdr:cxnSp macro="">
      <xdr:nvCxnSpPr>
        <xdr:cNvPr id="21" name="Connecteur droit avec flèche 20"/>
        <xdr:cNvCxnSpPr/>
      </xdr:nvCxnSpPr>
      <xdr:spPr>
        <a:xfrm flipV="1">
          <a:off x="6087718" y="51078847"/>
          <a:ext cx="2774674" cy="828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28575</xdr:colOff>
      <xdr:row>483</xdr:row>
      <xdr:rowOff>126723</xdr:rowOff>
    </xdr:from>
    <xdr:ext cx="1856598" cy="261931"/>
    <xdr:sp macro="" textlink="">
      <xdr:nvSpPr>
        <xdr:cNvPr id="22" name="ZoneTexte 21"/>
        <xdr:cNvSpPr txBox="1"/>
      </xdr:nvSpPr>
      <xdr:spPr>
        <a:xfrm>
          <a:off x="7038975" y="101034573"/>
          <a:ext cx="1856598" cy="2619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fr-FR" sz="1100"/>
            <a:t>Critère 1 : Air neuf global</a:t>
          </a:r>
        </a:p>
      </xdr:txBody>
    </xdr:sp>
    <xdr:clientData/>
  </xdr:oneCellAnchor>
  <xdr:oneCellAnchor>
    <xdr:from>
      <xdr:col>9</xdr:col>
      <xdr:colOff>156127</xdr:colOff>
      <xdr:row>496</xdr:row>
      <xdr:rowOff>101876</xdr:rowOff>
    </xdr:from>
    <xdr:ext cx="1576970" cy="261931"/>
    <xdr:sp macro="" textlink="">
      <xdr:nvSpPr>
        <xdr:cNvPr id="23" name="ZoneTexte 22"/>
        <xdr:cNvSpPr txBox="1"/>
      </xdr:nvSpPr>
      <xdr:spPr>
        <a:xfrm>
          <a:off x="6834833" y="97738729"/>
          <a:ext cx="1576970" cy="2619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fr-FR" sz="1100"/>
            <a:t>Critère 3 : Air extrait</a:t>
          </a:r>
        </a:p>
      </xdr:txBody>
    </xdr:sp>
    <xdr:clientData/>
  </xdr:oneCellAnchor>
  <xdr:oneCellAnchor>
    <xdr:from>
      <xdr:col>21</xdr:col>
      <xdr:colOff>58558</xdr:colOff>
      <xdr:row>502</xdr:row>
      <xdr:rowOff>149749</xdr:rowOff>
    </xdr:from>
    <xdr:ext cx="3947372" cy="242137"/>
    <xdr:sp macro="" textlink="">
      <xdr:nvSpPr>
        <xdr:cNvPr id="24" name="ZoneTexte 23"/>
        <xdr:cNvSpPr txBox="1"/>
      </xdr:nvSpPr>
      <xdr:spPr>
        <a:xfrm>
          <a:off x="3268483" y="95018749"/>
          <a:ext cx="3937860" cy="242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FR" sz="1100"/>
            <a:t>Critère 3 : Modulations des débits</a:t>
          </a:r>
        </a:p>
      </xdr:txBody>
    </xdr:sp>
    <xdr:clientData/>
  </xdr:oneCellAnchor>
  <xdr:twoCellAnchor editAs="oneCell">
    <xdr:from>
      <xdr:col>1</xdr:col>
      <xdr:colOff>285750</xdr:colOff>
      <xdr:row>45</xdr:row>
      <xdr:rowOff>104775</xdr:rowOff>
    </xdr:from>
    <xdr:to>
      <xdr:col>3</xdr:col>
      <xdr:colOff>95250</xdr:colOff>
      <xdr:row>62</xdr:row>
      <xdr:rowOff>85725</xdr:rowOff>
    </xdr:to>
    <xdr:pic>
      <xdr:nvPicPr>
        <xdr:cNvPr id="1750251" name="Picture 1003" descr="C:\Users\FrédéricL\AppData\Local\Microsoft\Windows\Temporary Internet Files\Content.IE5\XFEYQHIA\MC900237424[1].wmf"/>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1975" y="12001500"/>
          <a:ext cx="2457450" cy="3381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321048</xdr:colOff>
      <xdr:row>109</xdr:row>
      <xdr:rowOff>12886</xdr:rowOff>
    </xdr:from>
    <xdr:to>
      <xdr:col>5</xdr:col>
      <xdr:colOff>428625</xdr:colOff>
      <xdr:row>122</xdr:row>
      <xdr:rowOff>47625</xdr:rowOff>
    </xdr:to>
    <xdr:sp macro="" textlink="">
      <xdr:nvSpPr>
        <xdr:cNvPr id="38" name="ZoneTexte 37"/>
        <xdr:cNvSpPr txBox="1"/>
      </xdr:nvSpPr>
      <xdr:spPr>
        <a:xfrm>
          <a:off x="597273" y="25025536"/>
          <a:ext cx="4336677" cy="272078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fr-FR" sz="1000" b="0">
              <a:latin typeface="Arial" panose="020B0604020202020204" pitchFamily="34" charset="0"/>
              <a:cs typeface="Arial" panose="020B0604020202020204" pitchFamily="34" charset="0"/>
            </a:rPr>
            <a:t/>
          </a:r>
          <a:br>
            <a:rPr lang="fr-FR" sz="1000" b="0">
              <a:latin typeface="Arial" panose="020B0604020202020204" pitchFamily="34" charset="0"/>
              <a:cs typeface="Arial" panose="020B0604020202020204" pitchFamily="34" charset="0"/>
            </a:rPr>
          </a:br>
          <a:r>
            <a:rPr lang="fr-FR" sz="1200" b="1">
              <a:latin typeface="Arial" panose="020B0604020202020204" pitchFamily="34" charset="0"/>
              <a:cs typeface="Arial" panose="020B0604020202020204" pitchFamily="34" charset="0"/>
            </a:rPr>
            <a:t>Valeurs</a:t>
          </a:r>
          <a:r>
            <a:rPr lang="fr-FR" sz="1200" b="1" baseline="0">
              <a:latin typeface="Arial" panose="020B0604020202020204" pitchFamily="34" charset="0"/>
              <a:cs typeface="Arial" panose="020B0604020202020204" pitchFamily="34" charset="0"/>
            </a:rPr>
            <a:t> conseillées :</a:t>
          </a:r>
        </a:p>
        <a:p>
          <a:pPr algn="l"/>
          <a:r>
            <a:rPr lang="fr-FR" sz="1000" b="1" baseline="0">
              <a:latin typeface="Arial" panose="020B0604020202020204" pitchFamily="34" charset="0"/>
              <a:cs typeface="Arial" panose="020B0604020202020204" pitchFamily="34" charset="0"/>
            </a:rPr>
            <a:t/>
          </a:r>
          <a:br>
            <a:rPr lang="fr-FR" sz="1000" b="1" baseline="0">
              <a:latin typeface="Arial" panose="020B0604020202020204" pitchFamily="34" charset="0"/>
              <a:cs typeface="Arial" panose="020B0604020202020204" pitchFamily="34" charset="0"/>
            </a:rPr>
          </a:br>
          <a:r>
            <a:rPr lang="fr-FR" sz="1050" b="1" baseline="0">
              <a:latin typeface="Arial" panose="020B0604020202020204" pitchFamily="34" charset="0"/>
              <a:cs typeface="Arial" panose="020B0604020202020204" pitchFamily="34" charset="0"/>
            </a:rPr>
            <a:t>Rendement moyen : + de 80%</a:t>
          </a:r>
        </a:p>
        <a:p>
          <a:pPr algn="l"/>
          <a:r>
            <a:rPr lang="fr-FR" sz="1050" b="1" baseline="0">
              <a:latin typeface="Arial" panose="020B0604020202020204" pitchFamily="34" charset="0"/>
              <a:cs typeface="Arial" panose="020B0604020202020204" pitchFamily="34" charset="0"/>
            </a:rPr>
            <a:t>Efficience électrique inférieure à 0,35 W/m3</a:t>
          </a:r>
        </a:p>
        <a:p>
          <a:pPr algn="l"/>
          <a:endParaRPr lang="fr-FR" sz="1050" b="1" baseline="0">
            <a:latin typeface="Arial" panose="020B0604020202020204" pitchFamily="34" charset="0"/>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fr-FR" sz="1050" b="1" baseline="0">
              <a:latin typeface="Arial" panose="020B0604020202020204" pitchFamily="34" charset="0"/>
              <a:cs typeface="Arial" panose="020B0604020202020204" pitchFamily="34" charset="0"/>
            </a:rPr>
            <a:t>Fuites d'étanchéité :</a:t>
          </a:r>
          <a:r>
            <a:rPr lang="fr-FR" sz="1050" b="1" baseline="0">
              <a:solidFill>
                <a:schemeClr val="dk1"/>
              </a:solidFill>
              <a:effectLst/>
              <a:latin typeface="+mn-lt"/>
              <a:ea typeface="+mn-ea"/>
              <a:cs typeface="+mn-cs"/>
            </a:rPr>
            <a:t>- de 3%</a:t>
          </a:r>
          <a:endParaRPr lang="fr-FR" sz="1050">
            <a:effectLst/>
          </a:endParaRPr>
        </a:p>
        <a:p>
          <a:r>
            <a:rPr lang="fr-FR" sz="1050" b="0">
              <a:solidFill>
                <a:schemeClr val="dk1"/>
              </a:solidFill>
              <a:effectLst/>
              <a:latin typeface="Arial" panose="020B0604020202020204" pitchFamily="34" charset="0"/>
              <a:ea typeface="+mn-ea"/>
              <a:cs typeface="Arial" panose="020B0604020202020204" pitchFamily="34" charset="0"/>
            </a:rPr>
            <a:t>Les fuites d'étanchéité caractérisent les</a:t>
          </a:r>
          <a:r>
            <a:rPr lang="fr-FR" sz="1050" b="0" baseline="0">
              <a:solidFill>
                <a:schemeClr val="dk1"/>
              </a:solidFill>
              <a:effectLst/>
              <a:latin typeface="Arial" panose="020B0604020202020204" pitchFamily="34" charset="0"/>
              <a:ea typeface="+mn-ea"/>
              <a:cs typeface="Arial" panose="020B0604020202020204" pitchFamily="34" charset="0"/>
            </a:rPr>
            <a:t> fuites du caisson vers le local technique et les fuites entre l'air neuf et l'air extrait.</a:t>
          </a:r>
          <a:endParaRPr lang="fr-FR" sz="1050">
            <a:effectLst/>
            <a:latin typeface="Arial" panose="020B0604020202020204" pitchFamily="34" charset="0"/>
            <a:cs typeface="Arial" panose="020B0604020202020204" pitchFamily="34" charset="0"/>
          </a:endParaRPr>
        </a:p>
        <a:p>
          <a:endParaRPr lang="fr-FR" sz="1050">
            <a:effectLst/>
            <a:latin typeface="Arial" panose="020B0604020202020204" pitchFamily="34" charset="0"/>
            <a:cs typeface="Arial" panose="020B0604020202020204" pitchFamily="34" charset="0"/>
          </a:endParaRPr>
        </a:p>
        <a:p>
          <a:r>
            <a:rPr lang="fr-FR" sz="1050" b="0">
              <a:solidFill>
                <a:schemeClr val="dk1"/>
              </a:solidFill>
              <a:effectLst/>
              <a:latin typeface="Arial" panose="020B0604020202020204" pitchFamily="34" charset="0"/>
              <a:ea typeface="+mn-ea"/>
              <a:cs typeface="Arial" panose="020B0604020202020204" pitchFamily="34" charset="0"/>
            </a:rPr>
            <a:t>Les valeurs de bruit correspondent à la mesure faite sur le caisson en vitesse maximale de base</a:t>
          </a:r>
          <a:endParaRPr lang="fr-FR" sz="1050">
            <a:effectLst/>
            <a:latin typeface="Arial" panose="020B0604020202020204" pitchFamily="34" charset="0"/>
            <a:cs typeface="Arial" panose="020B0604020202020204" pitchFamily="34" charset="0"/>
          </a:endParaRPr>
        </a:p>
        <a:p>
          <a:r>
            <a:rPr lang="fr-FR" sz="1050" b="1" baseline="0">
              <a:solidFill>
                <a:schemeClr val="dk1"/>
              </a:solidFill>
              <a:effectLst/>
              <a:latin typeface="Arial" panose="020B0604020202020204" pitchFamily="34" charset="0"/>
              <a:ea typeface="+mn-ea"/>
              <a:cs typeface="Arial" panose="020B0604020202020204" pitchFamily="34" charset="0"/>
            </a:rPr>
            <a:t>Bruit rayonné : important si VMC dans local non isolé phonique</a:t>
          </a:r>
          <a:endParaRPr lang="fr-FR" sz="1050">
            <a:effectLst/>
            <a:latin typeface="Arial" panose="020B0604020202020204" pitchFamily="34" charset="0"/>
            <a:cs typeface="Arial" panose="020B0604020202020204" pitchFamily="34" charset="0"/>
          </a:endParaRPr>
        </a:p>
        <a:p>
          <a:r>
            <a:rPr lang="fr-FR" sz="1050" b="1" baseline="0">
              <a:solidFill>
                <a:schemeClr val="dk1"/>
              </a:solidFill>
              <a:effectLst/>
              <a:latin typeface="Arial" panose="020B0604020202020204" pitchFamily="34" charset="0"/>
              <a:ea typeface="+mn-ea"/>
              <a:cs typeface="Arial" panose="020B0604020202020204" pitchFamily="34" charset="0"/>
            </a:rPr>
            <a:t>Bruit à l'aspiration : important (nécessité dispositifs atténuateurs)</a:t>
          </a:r>
          <a:endParaRPr lang="fr-FR" sz="1050">
            <a:effectLst/>
            <a:latin typeface="Arial" panose="020B0604020202020204" pitchFamily="34" charset="0"/>
            <a:cs typeface="Arial" panose="020B0604020202020204" pitchFamily="34" charset="0"/>
          </a:endParaRPr>
        </a:p>
      </xdr:txBody>
    </xdr:sp>
    <xdr:clientData/>
  </xdr:twoCellAnchor>
  <xdr:twoCellAnchor editAs="oneCell">
    <xdr:from>
      <xdr:col>1</xdr:col>
      <xdr:colOff>527797</xdr:colOff>
      <xdr:row>214</xdr:row>
      <xdr:rowOff>90207</xdr:rowOff>
    </xdr:from>
    <xdr:to>
      <xdr:col>4</xdr:col>
      <xdr:colOff>489697</xdr:colOff>
      <xdr:row>225</xdr:row>
      <xdr:rowOff>187138</xdr:rowOff>
    </xdr:to>
    <xdr:pic>
      <xdr:nvPicPr>
        <xdr:cNvPr id="1750260" name="Picture 1057" descr="C:\Users\FrédéricL\AppData\Local\Microsoft\Windows\Temporary Internet Files\Content.IE5\OEEHYGZE\MC900435278[1].wmf"/>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07944" y="46213619"/>
          <a:ext cx="2886635" cy="26630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571500</xdr:colOff>
      <xdr:row>231</xdr:row>
      <xdr:rowOff>108857</xdr:rowOff>
    </xdr:from>
    <xdr:to>
      <xdr:col>4</xdr:col>
      <xdr:colOff>601266</xdr:colOff>
      <xdr:row>251</xdr:row>
      <xdr:rowOff>136922</xdr:rowOff>
    </xdr:to>
    <xdr:cxnSp macro="">
      <xdr:nvCxnSpPr>
        <xdr:cNvPr id="51" name="Connecteur droit 50"/>
        <xdr:cNvCxnSpPr/>
      </xdr:nvCxnSpPr>
      <xdr:spPr>
        <a:xfrm>
          <a:off x="3762375" y="50180591"/>
          <a:ext cx="29766" cy="411190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56334</xdr:colOff>
      <xdr:row>231</xdr:row>
      <xdr:rowOff>108857</xdr:rowOff>
    </xdr:from>
    <xdr:to>
      <xdr:col>8</xdr:col>
      <xdr:colOff>92352</xdr:colOff>
      <xdr:row>251</xdr:row>
      <xdr:rowOff>120091</xdr:rowOff>
    </xdr:to>
    <xdr:cxnSp macro="">
      <xdr:nvCxnSpPr>
        <xdr:cNvPr id="52" name="Connecteur droit 51"/>
        <xdr:cNvCxnSpPr/>
      </xdr:nvCxnSpPr>
      <xdr:spPr>
        <a:xfrm>
          <a:off x="6449786" y="38766750"/>
          <a:ext cx="24012" cy="410375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904315</xdr:colOff>
      <xdr:row>233</xdr:row>
      <xdr:rowOff>91889</xdr:rowOff>
    </xdr:from>
    <xdr:to>
      <xdr:col>11</xdr:col>
      <xdr:colOff>836516</xdr:colOff>
      <xdr:row>233</xdr:row>
      <xdr:rowOff>127748</xdr:rowOff>
    </xdr:to>
    <xdr:cxnSp macro="">
      <xdr:nvCxnSpPr>
        <xdr:cNvPr id="53" name="Connecteur droit 52"/>
        <xdr:cNvCxnSpPr/>
      </xdr:nvCxnSpPr>
      <xdr:spPr>
        <a:xfrm flipV="1">
          <a:off x="1184462" y="50451124"/>
          <a:ext cx="8134907" cy="358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915297</xdr:colOff>
      <xdr:row>237</xdr:row>
      <xdr:rowOff>127075</xdr:rowOff>
    </xdr:from>
    <xdr:to>
      <xdr:col>11</xdr:col>
      <xdr:colOff>847728</xdr:colOff>
      <xdr:row>237</xdr:row>
      <xdr:rowOff>127635</xdr:rowOff>
    </xdr:to>
    <xdr:cxnSp macro="">
      <xdr:nvCxnSpPr>
        <xdr:cNvPr id="60" name="Connecteur droit 59"/>
        <xdr:cNvCxnSpPr/>
      </xdr:nvCxnSpPr>
      <xdr:spPr>
        <a:xfrm>
          <a:off x="1183902" y="44557390"/>
          <a:ext cx="7779123" cy="56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937932</xdr:colOff>
      <xdr:row>240</xdr:row>
      <xdr:rowOff>104775</xdr:rowOff>
    </xdr:from>
    <xdr:to>
      <xdr:col>11</xdr:col>
      <xdr:colOff>847719</xdr:colOff>
      <xdr:row>240</xdr:row>
      <xdr:rowOff>114651</xdr:rowOff>
    </xdr:to>
    <xdr:cxnSp macro="">
      <xdr:nvCxnSpPr>
        <xdr:cNvPr id="61" name="Connecteur droit 60"/>
        <xdr:cNvCxnSpPr/>
      </xdr:nvCxnSpPr>
      <xdr:spPr>
        <a:xfrm flipV="1">
          <a:off x="1195107" y="45119925"/>
          <a:ext cx="7767918" cy="263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937932</xdr:colOff>
      <xdr:row>245</xdr:row>
      <xdr:rowOff>104775</xdr:rowOff>
    </xdr:from>
    <xdr:to>
      <xdr:col>11</xdr:col>
      <xdr:colOff>847719</xdr:colOff>
      <xdr:row>245</xdr:row>
      <xdr:rowOff>149319</xdr:rowOff>
    </xdr:to>
    <xdr:cxnSp macro="">
      <xdr:nvCxnSpPr>
        <xdr:cNvPr id="66" name="Connecteur droit 65"/>
        <xdr:cNvCxnSpPr/>
      </xdr:nvCxnSpPr>
      <xdr:spPr>
        <a:xfrm flipV="1">
          <a:off x="1195107" y="46139100"/>
          <a:ext cx="7767918" cy="2969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840922</xdr:colOff>
      <xdr:row>231</xdr:row>
      <xdr:rowOff>108857</xdr:rowOff>
    </xdr:from>
    <xdr:to>
      <xdr:col>11</xdr:col>
      <xdr:colOff>847326</xdr:colOff>
      <xdr:row>251</xdr:row>
      <xdr:rowOff>108954</xdr:rowOff>
    </xdr:to>
    <xdr:cxnSp macro="">
      <xdr:nvCxnSpPr>
        <xdr:cNvPr id="67" name="Connecteur droit 66"/>
        <xdr:cNvCxnSpPr/>
      </xdr:nvCxnSpPr>
      <xdr:spPr>
        <a:xfrm>
          <a:off x="8956222" y="43342832"/>
          <a:ext cx="6404" cy="403299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571500</xdr:colOff>
      <xdr:row>231</xdr:row>
      <xdr:rowOff>85725</xdr:rowOff>
    </xdr:from>
    <xdr:to>
      <xdr:col>11</xdr:col>
      <xdr:colOff>847725</xdr:colOff>
      <xdr:row>231</xdr:row>
      <xdr:rowOff>108858</xdr:rowOff>
    </xdr:to>
    <xdr:cxnSp macro="">
      <xdr:nvCxnSpPr>
        <xdr:cNvPr id="68" name="Connecteur droit 67"/>
        <xdr:cNvCxnSpPr/>
      </xdr:nvCxnSpPr>
      <xdr:spPr>
        <a:xfrm flipV="1">
          <a:off x="3762375" y="43319700"/>
          <a:ext cx="5200650" cy="2313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949138</xdr:colOff>
      <xdr:row>251</xdr:row>
      <xdr:rowOff>120015</xdr:rowOff>
    </xdr:from>
    <xdr:to>
      <xdr:col>11</xdr:col>
      <xdr:colOff>876312</xdr:colOff>
      <xdr:row>251</xdr:row>
      <xdr:rowOff>146309</xdr:rowOff>
    </xdr:to>
    <xdr:cxnSp macro="">
      <xdr:nvCxnSpPr>
        <xdr:cNvPr id="73" name="Connecteur droit 72"/>
        <xdr:cNvCxnSpPr/>
      </xdr:nvCxnSpPr>
      <xdr:spPr>
        <a:xfrm flipV="1">
          <a:off x="1206313" y="47377350"/>
          <a:ext cx="7785287" cy="4090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913534</xdr:colOff>
      <xdr:row>233</xdr:row>
      <xdr:rowOff>125556</xdr:rowOff>
    </xdr:from>
    <xdr:to>
      <xdr:col>1</xdr:col>
      <xdr:colOff>952303</xdr:colOff>
      <xdr:row>251</xdr:row>
      <xdr:rowOff>145398</xdr:rowOff>
    </xdr:to>
    <xdr:cxnSp macro="">
      <xdr:nvCxnSpPr>
        <xdr:cNvPr id="74" name="Connecteur droit 73"/>
        <xdr:cNvCxnSpPr/>
      </xdr:nvCxnSpPr>
      <xdr:spPr>
        <a:xfrm>
          <a:off x="1190625" y="50144795"/>
          <a:ext cx="38769" cy="364367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190500</xdr:colOff>
      <xdr:row>160</xdr:row>
      <xdr:rowOff>133350</xdr:rowOff>
    </xdr:from>
    <xdr:to>
      <xdr:col>16</xdr:col>
      <xdr:colOff>1314450</xdr:colOff>
      <xdr:row>180</xdr:row>
      <xdr:rowOff>28575</xdr:rowOff>
    </xdr:to>
    <xdr:graphicFrame macro="">
      <xdr:nvGraphicFramePr>
        <xdr:cNvPr id="1750276"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192132</xdr:colOff>
      <xdr:row>161</xdr:row>
      <xdr:rowOff>46808</xdr:rowOff>
    </xdr:from>
    <xdr:to>
      <xdr:col>10</xdr:col>
      <xdr:colOff>85724</xdr:colOff>
      <xdr:row>178</xdr:row>
      <xdr:rowOff>66675</xdr:rowOff>
    </xdr:to>
    <xdr:sp macro="" textlink="">
      <xdr:nvSpPr>
        <xdr:cNvPr id="62" name="ZoneTexte 61"/>
        <xdr:cNvSpPr txBox="1"/>
      </xdr:nvSpPr>
      <xdr:spPr>
        <a:xfrm>
          <a:off x="468357" y="34384433"/>
          <a:ext cx="7656467" cy="3420292"/>
        </a:xfrm>
        <a:prstGeom prst="rect">
          <a:avLst/>
        </a:prstGeom>
        <a:solidFill>
          <a:srgbClr val="FAFAF8"/>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fr-FR" sz="1050" u="sng">
            <a:latin typeface="Arial" panose="020B0604020202020204" pitchFamily="34" charset="0"/>
            <a:cs typeface="Arial" panose="020B0604020202020204" pitchFamily="34" charset="0"/>
          </a:endParaRPr>
        </a:p>
        <a:p>
          <a:r>
            <a:rPr lang="fr-FR" sz="1050" b="1" u="sng">
              <a:latin typeface="Arial" panose="020B0604020202020204" pitchFamily="34" charset="0"/>
              <a:cs typeface="Arial" panose="020B0604020202020204" pitchFamily="34" charset="0"/>
            </a:rPr>
            <a:t>Mise en garde</a:t>
          </a:r>
        </a:p>
        <a:p>
          <a:endParaRPr lang="fr-FR" sz="1050" u="sng">
            <a:latin typeface="Arial" panose="020B0604020202020204" pitchFamily="34" charset="0"/>
            <a:cs typeface="Arial" panose="020B0604020202020204" pitchFamily="34" charset="0"/>
          </a:endParaRPr>
        </a:p>
        <a:p>
          <a:r>
            <a:rPr lang="fr-FR" sz="1050" baseline="0">
              <a:solidFill>
                <a:schemeClr val="dk1"/>
              </a:solidFill>
              <a:latin typeface="Arial" panose="020B0604020202020204" pitchFamily="34" charset="0"/>
              <a:ea typeface="+mn-ea"/>
              <a:cs typeface="Arial" panose="020B0604020202020204" pitchFamily="34" charset="0"/>
            </a:rPr>
            <a:t>Pour une juste comparaison entre caissons VMC double flux, attention à ne pas comparer des installations complètes fort différentes :</a:t>
          </a:r>
        </a:p>
        <a:p>
          <a:endParaRPr lang="fr-FR" sz="1050" baseline="0">
            <a:solidFill>
              <a:schemeClr val="dk1"/>
            </a:solidFill>
            <a:latin typeface="Arial" panose="020B0604020202020204" pitchFamily="34" charset="0"/>
            <a:ea typeface="+mn-ea"/>
            <a:cs typeface="Arial" panose="020B0604020202020204" pitchFamily="34" charset="0"/>
          </a:endParaRPr>
        </a:p>
        <a:p>
          <a:r>
            <a:rPr lang="fr-FR" sz="1050" baseline="0">
              <a:solidFill>
                <a:schemeClr val="dk1"/>
              </a:solidFill>
              <a:latin typeface="Arial" panose="020B0604020202020204" pitchFamily="34" charset="0"/>
              <a:ea typeface="+mn-ea"/>
              <a:cs typeface="Arial" panose="020B0604020202020204" pitchFamily="34" charset="0"/>
            </a:rPr>
            <a:t>Exemple : comparer le cout d'une VMC double flux avec réseau bas de gamme avec VMC double flux et réseau haut de gamme. Le " retour sur investissement "  de la deuxième solution s'en trouve plombé alors  mais la différence de qualité n'est pas comparable.</a:t>
          </a:r>
        </a:p>
        <a:p>
          <a:r>
            <a:rPr lang="fr-FR" sz="1050" baseline="0">
              <a:solidFill>
                <a:schemeClr val="dk1"/>
              </a:solidFill>
              <a:latin typeface="Arial" panose="020B0604020202020204" pitchFamily="34" charset="0"/>
              <a:ea typeface="+mn-ea"/>
              <a:cs typeface="Arial" panose="020B0604020202020204" pitchFamily="34" charset="0"/>
            </a:rPr>
            <a:t>Préférer la comparaison en comparant les différences de prix des caissons, et comparer les réseaux sur une même base d'installation.</a:t>
          </a:r>
        </a:p>
        <a:p>
          <a:endParaRPr lang="fr-FR" sz="1050" baseline="0">
            <a:solidFill>
              <a:schemeClr val="dk1"/>
            </a:solidFill>
            <a:latin typeface="Arial" panose="020B0604020202020204" pitchFamily="34" charset="0"/>
            <a:ea typeface="+mn-ea"/>
            <a:cs typeface="Arial" panose="020B0604020202020204" pitchFamily="34" charset="0"/>
          </a:endParaRPr>
        </a:p>
        <a:p>
          <a:r>
            <a:rPr lang="fr-FR" sz="1050" baseline="0">
              <a:solidFill>
                <a:schemeClr val="dk1"/>
              </a:solidFill>
              <a:latin typeface="Arial" panose="020B0604020202020204" pitchFamily="34" charset="0"/>
              <a:ea typeface="+mn-ea"/>
              <a:cs typeface="Arial" panose="020B0604020202020204" pitchFamily="34" charset="0"/>
            </a:rPr>
            <a:t>Le retour sur investissement (RSI) est une donnée à prendre avec des pincettes, il suffit de baisser le taux de renouvellement d'air pour que le RSI augmente (les gains de la vmc baissent), alors que les couts de fonctionnements baissent (car les déperditions baissent aussi). </a:t>
          </a:r>
        </a:p>
      </xdr:txBody>
    </xdr:sp>
    <xdr:clientData/>
  </xdr:twoCellAnchor>
  <xdr:twoCellAnchor>
    <xdr:from>
      <xdr:col>7</xdr:col>
      <xdr:colOff>840441</xdr:colOff>
      <xdr:row>320</xdr:row>
      <xdr:rowOff>110379</xdr:rowOff>
    </xdr:from>
    <xdr:to>
      <xdr:col>7</xdr:col>
      <xdr:colOff>841842</xdr:colOff>
      <xdr:row>326</xdr:row>
      <xdr:rowOff>33656</xdr:rowOff>
    </xdr:to>
    <xdr:cxnSp macro="">
      <xdr:nvCxnSpPr>
        <xdr:cNvPr id="55" name="Connecteur droit avec flèche 54"/>
        <xdr:cNvCxnSpPr/>
      </xdr:nvCxnSpPr>
      <xdr:spPr>
        <a:xfrm flipH="1">
          <a:off x="6364941" y="59122236"/>
          <a:ext cx="11206" cy="11430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936886</xdr:colOff>
      <xdr:row>266</xdr:row>
      <xdr:rowOff>98615</xdr:rowOff>
    </xdr:from>
    <xdr:to>
      <xdr:col>12</xdr:col>
      <xdr:colOff>206401</xdr:colOff>
      <xdr:row>277</xdr:row>
      <xdr:rowOff>181049</xdr:rowOff>
    </xdr:to>
    <xdr:sp macro="" textlink="">
      <xdr:nvSpPr>
        <xdr:cNvPr id="54" name="ZoneTexte 53"/>
        <xdr:cNvSpPr txBox="1"/>
      </xdr:nvSpPr>
      <xdr:spPr>
        <a:xfrm rot="16200000">
          <a:off x="8065554" y="50541288"/>
          <a:ext cx="2242344" cy="2735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100">
              <a:latin typeface="Darwin" panose="02000000000000000000" pitchFamily="50" charset="0"/>
            </a:rPr>
            <a:t>Solution</a:t>
          </a:r>
          <a:r>
            <a:rPr lang="fr-FR" sz="1100" baseline="0">
              <a:latin typeface="Darwin" panose="02000000000000000000" pitchFamily="50" charset="0"/>
            </a:rPr>
            <a:t> de base</a:t>
          </a:r>
          <a:endParaRPr lang="fr-FR" sz="1100">
            <a:latin typeface="Darwin" panose="02000000000000000000" pitchFamily="50" charset="0"/>
          </a:endParaRPr>
        </a:p>
      </xdr:txBody>
    </xdr:sp>
    <xdr:clientData/>
  </xdr:twoCellAnchor>
  <xdr:twoCellAnchor>
    <xdr:from>
      <xdr:col>14</xdr:col>
      <xdr:colOff>1143638</xdr:colOff>
      <xdr:row>266</xdr:row>
      <xdr:rowOff>89649</xdr:rowOff>
    </xdr:from>
    <xdr:to>
      <xdr:col>15</xdr:col>
      <xdr:colOff>159234</xdr:colOff>
      <xdr:row>278</xdr:row>
      <xdr:rowOff>9586</xdr:rowOff>
    </xdr:to>
    <xdr:sp macro="" textlink="">
      <xdr:nvSpPr>
        <xdr:cNvPr id="56" name="ZoneTexte 55"/>
        <xdr:cNvSpPr txBox="1"/>
      </xdr:nvSpPr>
      <xdr:spPr>
        <a:xfrm rot="16200000">
          <a:off x="10423273" y="50559218"/>
          <a:ext cx="2296135" cy="2735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100">
              <a:latin typeface="Darwin" panose="02000000000000000000" pitchFamily="50" charset="0"/>
            </a:rPr>
            <a:t>Solution</a:t>
          </a:r>
          <a:r>
            <a:rPr lang="fr-FR" sz="1100" baseline="0">
              <a:latin typeface="Darwin" panose="02000000000000000000" pitchFamily="50" charset="0"/>
            </a:rPr>
            <a:t> mise en variante</a:t>
          </a:r>
          <a:endParaRPr lang="fr-FR" sz="1100">
            <a:latin typeface="Darwin" panose="02000000000000000000" pitchFamily="50" charset="0"/>
          </a:endParaRPr>
        </a:p>
      </xdr:txBody>
    </xdr:sp>
    <xdr:clientData/>
  </xdr:twoCellAnchor>
  <xdr:twoCellAnchor>
    <xdr:from>
      <xdr:col>17</xdr:col>
      <xdr:colOff>542925</xdr:colOff>
      <xdr:row>77</xdr:row>
      <xdr:rowOff>95250</xdr:rowOff>
    </xdr:from>
    <xdr:to>
      <xdr:col>20</xdr:col>
      <xdr:colOff>914400</xdr:colOff>
      <xdr:row>91</xdr:row>
      <xdr:rowOff>190500</xdr:rowOff>
    </xdr:to>
    <xdr:pic>
      <xdr:nvPicPr>
        <xdr:cNvPr id="1750282" name="Image 56" descr="Image9.jpg"/>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4497050" y="18383250"/>
          <a:ext cx="4143375" cy="289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268941</xdr:colOff>
      <xdr:row>77</xdr:row>
      <xdr:rowOff>9749</xdr:rowOff>
    </xdr:from>
    <xdr:to>
      <xdr:col>18</xdr:col>
      <xdr:colOff>421341</xdr:colOff>
      <xdr:row>82</xdr:row>
      <xdr:rowOff>179288</xdr:rowOff>
    </xdr:to>
    <xdr:cxnSp macro="">
      <xdr:nvCxnSpPr>
        <xdr:cNvPr id="59" name="Connecteur droit 58"/>
        <xdr:cNvCxnSpPr/>
      </xdr:nvCxnSpPr>
      <xdr:spPr>
        <a:xfrm>
          <a:off x="15365506" y="16728141"/>
          <a:ext cx="152400" cy="1138518"/>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421340</xdr:colOff>
      <xdr:row>82</xdr:row>
      <xdr:rowOff>179854</xdr:rowOff>
    </xdr:from>
    <xdr:to>
      <xdr:col>19</xdr:col>
      <xdr:colOff>537882</xdr:colOff>
      <xdr:row>85</xdr:row>
      <xdr:rowOff>179406</xdr:rowOff>
    </xdr:to>
    <xdr:cxnSp macro="">
      <xdr:nvCxnSpPr>
        <xdr:cNvPr id="64" name="Connecteur droit 63"/>
        <xdr:cNvCxnSpPr/>
      </xdr:nvCxnSpPr>
      <xdr:spPr>
        <a:xfrm>
          <a:off x="15517905" y="17857694"/>
          <a:ext cx="815789" cy="60063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509868</xdr:colOff>
      <xdr:row>85</xdr:row>
      <xdr:rowOff>179856</xdr:rowOff>
    </xdr:from>
    <xdr:to>
      <xdr:col>19</xdr:col>
      <xdr:colOff>536762</xdr:colOff>
      <xdr:row>88</xdr:row>
      <xdr:rowOff>27041</xdr:rowOff>
    </xdr:to>
    <xdr:cxnSp macro="">
      <xdr:nvCxnSpPr>
        <xdr:cNvPr id="69" name="Connecteur droit 68"/>
        <xdr:cNvCxnSpPr/>
      </xdr:nvCxnSpPr>
      <xdr:spPr>
        <a:xfrm>
          <a:off x="16324730" y="18449366"/>
          <a:ext cx="17929" cy="448234"/>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35859</xdr:colOff>
      <xdr:row>92</xdr:row>
      <xdr:rowOff>116541</xdr:rowOff>
    </xdr:from>
    <xdr:to>
      <xdr:col>18</xdr:col>
      <xdr:colOff>690282</xdr:colOff>
      <xdr:row>92</xdr:row>
      <xdr:rowOff>116541</xdr:rowOff>
    </xdr:to>
    <xdr:cxnSp macro="">
      <xdr:nvCxnSpPr>
        <xdr:cNvPr id="71" name="Connecteur droit 70"/>
        <xdr:cNvCxnSpPr/>
      </xdr:nvCxnSpPr>
      <xdr:spPr>
        <a:xfrm>
          <a:off x="15132424" y="19776141"/>
          <a:ext cx="654423" cy="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929864</xdr:colOff>
      <xdr:row>84</xdr:row>
      <xdr:rowOff>98612</xdr:rowOff>
    </xdr:from>
    <xdr:to>
      <xdr:col>19</xdr:col>
      <xdr:colOff>980290</xdr:colOff>
      <xdr:row>88</xdr:row>
      <xdr:rowOff>125001</xdr:rowOff>
    </xdr:to>
    <xdr:cxnSp macro="">
      <xdr:nvCxnSpPr>
        <xdr:cNvPr id="77" name="Connecteur droit 76"/>
        <xdr:cNvCxnSpPr/>
      </xdr:nvCxnSpPr>
      <xdr:spPr>
        <a:xfrm>
          <a:off x="16737106" y="18180424"/>
          <a:ext cx="26894" cy="824753"/>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twoCellAnchor>
    <xdr:from>
      <xdr:col>19</xdr:col>
      <xdr:colOff>168425</xdr:colOff>
      <xdr:row>84</xdr:row>
      <xdr:rowOff>89647</xdr:rowOff>
    </xdr:from>
    <xdr:to>
      <xdr:col>19</xdr:col>
      <xdr:colOff>929987</xdr:colOff>
      <xdr:row>86</xdr:row>
      <xdr:rowOff>71717</xdr:rowOff>
    </xdr:to>
    <xdr:cxnSp macro="">
      <xdr:nvCxnSpPr>
        <xdr:cNvPr id="80" name="Connecteur droit 79"/>
        <xdr:cNvCxnSpPr/>
      </xdr:nvCxnSpPr>
      <xdr:spPr>
        <a:xfrm flipH="1">
          <a:off x="15966142" y="18171459"/>
          <a:ext cx="770964" cy="376517"/>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twoCellAnchor>
    <xdr:from>
      <xdr:col>18</xdr:col>
      <xdr:colOff>80682</xdr:colOff>
      <xdr:row>93</xdr:row>
      <xdr:rowOff>125505</xdr:rowOff>
    </xdr:from>
    <xdr:to>
      <xdr:col>18</xdr:col>
      <xdr:colOff>664863</xdr:colOff>
      <xdr:row>93</xdr:row>
      <xdr:rowOff>125506</xdr:rowOff>
    </xdr:to>
    <xdr:cxnSp macro="">
      <xdr:nvCxnSpPr>
        <xdr:cNvPr id="84" name="Connecteur droit 83"/>
        <xdr:cNvCxnSpPr/>
      </xdr:nvCxnSpPr>
      <xdr:spPr>
        <a:xfrm flipH="1" flipV="1">
          <a:off x="15177247" y="19982329"/>
          <a:ext cx="591671" cy="1"/>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20</xdr:col>
      <xdr:colOff>1171575</xdr:colOff>
      <xdr:row>77</xdr:row>
      <xdr:rowOff>114300</xdr:rowOff>
    </xdr:from>
    <xdr:to>
      <xdr:col>25</xdr:col>
      <xdr:colOff>285750</xdr:colOff>
      <xdr:row>91</xdr:row>
      <xdr:rowOff>161925</xdr:rowOff>
    </xdr:to>
    <xdr:pic>
      <xdr:nvPicPr>
        <xdr:cNvPr id="1750290" name="Picture 5594"/>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t="21327" r="33398" b="16824"/>
        <a:stretch>
          <a:fillRect/>
        </a:stretch>
      </xdr:blipFill>
      <xdr:spPr bwMode="auto">
        <a:xfrm>
          <a:off x="18897600" y="18402300"/>
          <a:ext cx="3724275" cy="284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1828800</xdr:colOff>
      <xdr:row>80</xdr:row>
      <xdr:rowOff>45720</xdr:rowOff>
    </xdr:from>
    <xdr:to>
      <xdr:col>23</xdr:col>
      <xdr:colOff>1828800</xdr:colOff>
      <xdr:row>89</xdr:row>
      <xdr:rowOff>114300</xdr:rowOff>
    </xdr:to>
    <xdr:cxnSp macro="">
      <xdr:nvCxnSpPr>
        <xdr:cNvPr id="92" name="Connecteur droit avec flèche 91"/>
        <xdr:cNvCxnSpPr/>
      </xdr:nvCxnSpPr>
      <xdr:spPr>
        <a:xfrm flipV="1">
          <a:off x="22235160" y="17449800"/>
          <a:ext cx="0" cy="1851660"/>
        </a:xfrm>
        <a:prstGeom prst="straightConnector1">
          <a:avLst/>
        </a:prstGeom>
        <a:ln w="285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182880</xdr:colOff>
      <xdr:row>80</xdr:row>
      <xdr:rowOff>62865</xdr:rowOff>
    </xdr:from>
    <xdr:to>
      <xdr:col>23</xdr:col>
      <xdr:colOff>1815473</xdr:colOff>
      <xdr:row>80</xdr:row>
      <xdr:rowOff>62865</xdr:rowOff>
    </xdr:to>
    <xdr:cxnSp macro="">
      <xdr:nvCxnSpPr>
        <xdr:cNvPr id="94" name="Connecteur droit avec flèche 93"/>
        <xdr:cNvCxnSpPr/>
      </xdr:nvCxnSpPr>
      <xdr:spPr>
        <a:xfrm flipH="1" flipV="1">
          <a:off x="19644360" y="17457420"/>
          <a:ext cx="2567940" cy="7620"/>
        </a:xfrm>
        <a:prstGeom prst="straightConnector1">
          <a:avLst/>
        </a:prstGeom>
        <a:ln w="285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914400</xdr:colOff>
      <xdr:row>77</xdr:row>
      <xdr:rowOff>1</xdr:rowOff>
    </xdr:from>
    <xdr:to>
      <xdr:col>16</xdr:col>
      <xdr:colOff>1552575</xdr:colOff>
      <xdr:row>103</xdr:row>
      <xdr:rowOff>190501</xdr:rowOff>
    </xdr:to>
    <xdr:graphicFrame macro="">
      <xdr:nvGraphicFramePr>
        <xdr:cNvPr id="1750294" name="Graphique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11</xdr:col>
      <xdr:colOff>392205</xdr:colOff>
      <xdr:row>8</xdr:row>
      <xdr:rowOff>818138</xdr:rowOff>
    </xdr:from>
    <xdr:to>
      <xdr:col>16</xdr:col>
      <xdr:colOff>795616</xdr:colOff>
      <xdr:row>8</xdr:row>
      <xdr:rowOff>2147133</xdr:rowOff>
    </xdr:to>
    <xdr:pic>
      <xdr:nvPicPr>
        <xdr:cNvPr id="2" name="Image 1">
          <a:hlinkClick xmlns:r="http://schemas.openxmlformats.org/officeDocument/2006/relationships" r:id="rId15"/>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8527676" y="2801579"/>
          <a:ext cx="4684058" cy="1328995"/>
        </a:xfrm>
        <a:prstGeom prst="rect">
          <a:avLst/>
        </a:prstGeom>
      </xdr:spPr>
    </xdr:pic>
    <xdr:clientData/>
  </xdr:twoCellAnchor>
  <xdr:twoCellAnchor editAs="oneCell">
    <xdr:from>
      <xdr:col>4</xdr:col>
      <xdr:colOff>690002</xdr:colOff>
      <xdr:row>8</xdr:row>
      <xdr:rowOff>1075766</xdr:rowOff>
    </xdr:from>
    <xdr:to>
      <xdr:col>7</xdr:col>
      <xdr:colOff>661060</xdr:colOff>
      <xdr:row>8</xdr:row>
      <xdr:rowOff>1961378</xdr:rowOff>
    </xdr:to>
    <xdr:pic>
      <xdr:nvPicPr>
        <xdr:cNvPr id="3" name="Image 2">
          <a:hlinkClick xmlns:r="http://schemas.openxmlformats.org/officeDocument/2006/relationships" r:id="rId17"/>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3894884" y="3059207"/>
          <a:ext cx="2634696" cy="885612"/>
        </a:xfrm>
        <a:prstGeom prst="rect">
          <a:avLst/>
        </a:prstGeom>
      </xdr:spPr>
    </xdr:pic>
    <xdr:clientData/>
  </xdr:twoCellAnchor>
  <xdr:oneCellAnchor>
    <xdr:from>
      <xdr:col>1</xdr:col>
      <xdr:colOff>504270</xdr:colOff>
      <xdr:row>15</xdr:row>
      <xdr:rowOff>11206</xdr:rowOff>
    </xdr:from>
    <xdr:ext cx="257175" cy="0"/>
    <xdr:pic>
      <xdr:nvPicPr>
        <xdr:cNvPr id="70" name="Image 69"/>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932895" y="6631081"/>
          <a:ext cx="257175" cy="0"/>
        </a:xfrm>
        <a:prstGeom prst="rect">
          <a:avLst/>
        </a:prstGeom>
      </xdr:spPr>
    </xdr:pic>
    <xdr:clientData/>
  </xdr:oneCellAnchor>
  <xdr:twoCellAnchor>
    <xdr:from>
      <xdr:col>12</xdr:col>
      <xdr:colOff>134471</xdr:colOff>
      <xdr:row>231</xdr:row>
      <xdr:rowOff>123264</xdr:rowOff>
    </xdr:from>
    <xdr:to>
      <xdr:col>16</xdr:col>
      <xdr:colOff>1205754</xdr:colOff>
      <xdr:row>251</xdr:row>
      <xdr:rowOff>78441</xdr:rowOff>
    </xdr:to>
    <xdr:sp macro="" textlink="">
      <xdr:nvSpPr>
        <xdr:cNvPr id="78" name="ZoneTexte 77"/>
        <xdr:cNvSpPr txBox="1"/>
      </xdr:nvSpPr>
      <xdr:spPr>
        <a:xfrm>
          <a:off x="9625853" y="50079088"/>
          <a:ext cx="4343401" cy="4022912"/>
        </a:xfrm>
        <a:prstGeom prst="rect">
          <a:avLst/>
        </a:prstGeom>
        <a:solidFill>
          <a:srgbClr val="FAFAF8"/>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fr-FR" sz="1000" b="0">
              <a:latin typeface="Arial" panose="020B0604020202020204" pitchFamily="34" charset="0"/>
              <a:cs typeface="Arial" panose="020B0604020202020204" pitchFamily="34" charset="0"/>
            </a:rPr>
            <a:t/>
          </a:r>
          <a:br>
            <a:rPr lang="fr-FR" sz="1000" b="0">
              <a:latin typeface="Arial" panose="020B0604020202020204" pitchFamily="34" charset="0"/>
              <a:cs typeface="Arial" panose="020B0604020202020204" pitchFamily="34" charset="0"/>
            </a:rPr>
          </a:br>
          <a:r>
            <a:rPr lang="fr-FR" sz="1200" b="1">
              <a:latin typeface="Arial" panose="020B0604020202020204" pitchFamily="34" charset="0"/>
              <a:cs typeface="Arial" panose="020B0604020202020204" pitchFamily="34" charset="0"/>
            </a:rPr>
            <a:t>Valeurs</a:t>
          </a:r>
          <a:r>
            <a:rPr lang="fr-FR" sz="1200" b="1" baseline="0">
              <a:latin typeface="Arial" panose="020B0604020202020204" pitchFamily="34" charset="0"/>
              <a:cs typeface="Arial" panose="020B0604020202020204" pitchFamily="34" charset="0"/>
            </a:rPr>
            <a:t> conseillées :</a:t>
          </a:r>
        </a:p>
        <a:p>
          <a:pPr algn="l"/>
          <a:r>
            <a:rPr lang="fr-FR" sz="1000" b="1" baseline="0">
              <a:latin typeface="Arial" panose="020B0604020202020204" pitchFamily="34" charset="0"/>
              <a:cs typeface="Arial" panose="020B0604020202020204" pitchFamily="34" charset="0"/>
            </a:rPr>
            <a:t/>
          </a:r>
          <a:br>
            <a:rPr lang="fr-FR" sz="1000" b="1" baseline="0">
              <a:latin typeface="Arial" panose="020B0604020202020204" pitchFamily="34" charset="0"/>
              <a:cs typeface="Arial" panose="020B0604020202020204" pitchFamily="34" charset="0"/>
            </a:rPr>
          </a:br>
          <a:r>
            <a:rPr lang="fr-FR" sz="1050" b="1" baseline="0">
              <a:latin typeface="Arial" panose="020B0604020202020204" pitchFamily="34" charset="0"/>
              <a:cs typeface="Arial" panose="020B0604020202020204" pitchFamily="34" charset="0"/>
            </a:rPr>
            <a:t>Rendement moyen : + de 80%</a:t>
          </a:r>
        </a:p>
        <a:p>
          <a:pPr algn="l"/>
          <a:r>
            <a:rPr lang="fr-FR" sz="1050" b="1" baseline="0">
              <a:latin typeface="Arial" panose="020B0604020202020204" pitchFamily="34" charset="0"/>
              <a:cs typeface="Arial" panose="020B0604020202020204" pitchFamily="34" charset="0"/>
            </a:rPr>
            <a:t>Efficience électrique inférieure à 0,35 W/m3</a:t>
          </a:r>
        </a:p>
        <a:p>
          <a:pPr algn="l"/>
          <a:endParaRPr lang="fr-FR" sz="1050" b="1" baseline="0">
            <a:latin typeface="Arial" panose="020B0604020202020204" pitchFamily="34" charset="0"/>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fr-FR" sz="1050" b="1" baseline="0">
              <a:latin typeface="Arial" panose="020B0604020202020204" pitchFamily="34" charset="0"/>
              <a:cs typeface="Arial" panose="020B0604020202020204" pitchFamily="34" charset="0"/>
            </a:rPr>
            <a:t>Fuites d'étanchéité :</a:t>
          </a:r>
          <a:r>
            <a:rPr lang="fr-FR" sz="1050" b="1" baseline="0">
              <a:solidFill>
                <a:schemeClr val="dk1"/>
              </a:solidFill>
              <a:effectLst/>
              <a:latin typeface="+mn-lt"/>
              <a:ea typeface="+mn-ea"/>
              <a:cs typeface="+mn-cs"/>
            </a:rPr>
            <a:t>- de 3%</a:t>
          </a:r>
          <a:endParaRPr lang="fr-FR" sz="1050">
            <a:effectLst/>
          </a:endParaRPr>
        </a:p>
        <a:p>
          <a:r>
            <a:rPr lang="fr-FR" sz="1050" b="0">
              <a:solidFill>
                <a:schemeClr val="dk1"/>
              </a:solidFill>
              <a:effectLst/>
              <a:latin typeface="Arial" panose="020B0604020202020204" pitchFamily="34" charset="0"/>
              <a:ea typeface="+mn-ea"/>
              <a:cs typeface="Arial" panose="020B0604020202020204" pitchFamily="34" charset="0"/>
            </a:rPr>
            <a:t>Les fuites d'étanchéité caractérisent les</a:t>
          </a:r>
          <a:r>
            <a:rPr lang="fr-FR" sz="1050" b="0" baseline="0">
              <a:solidFill>
                <a:schemeClr val="dk1"/>
              </a:solidFill>
              <a:effectLst/>
              <a:latin typeface="Arial" panose="020B0604020202020204" pitchFamily="34" charset="0"/>
              <a:ea typeface="+mn-ea"/>
              <a:cs typeface="Arial" panose="020B0604020202020204" pitchFamily="34" charset="0"/>
            </a:rPr>
            <a:t> fuites du caisson vers le local technique et les fuites entre l'air neuf et l'air extrait.</a:t>
          </a:r>
          <a:endParaRPr lang="fr-FR" sz="1050">
            <a:effectLst/>
            <a:latin typeface="Arial" panose="020B0604020202020204" pitchFamily="34" charset="0"/>
            <a:cs typeface="Arial" panose="020B0604020202020204" pitchFamily="34" charset="0"/>
          </a:endParaRPr>
        </a:p>
        <a:p>
          <a:endParaRPr lang="fr-FR" sz="1050">
            <a:effectLst/>
            <a:latin typeface="Arial" panose="020B0604020202020204" pitchFamily="34" charset="0"/>
            <a:cs typeface="Arial" panose="020B0604020202020204" pitchFamily="34" charset="0"/>
          </a:endParaRPr>
        </a:p>
        <a:p>
          <a:r>
            <a:rPr lang="fr-FR" sz="1050" b="0">
              <a:solidFill>
                <a:schemeClr val="dk1"/>
              </a:solidFill>
              <a:effectLst/>
              <a:latin typeface="Arial" panose="020B0604020202020204" pitchFamily="34" charset="0"/>
              <a:ea typeface="+mn-ea"/>
              <a:cs typeface="Arial" panose="020B0604020202020204" pitchFamily="34" charset="0"/>
            </a:rPr>
            <a:t>Les valeurs de bruit correspondent à la mesure faite sur le caisson en vitesse maximale de base</a:t>
          </a:r>
          <a:endParaRPr lang="fr-FR" sz="1050">
            <a:effectLst/>
            <a:latin typeface="Arial" panose="020B0604020202020204" pitchFamily="34" charset="0"/>
            <a:cs typeface="Arial" panose="020B0604020202020204" pitchFamily="34" charset="0"/>
          </a:endParaRPr>
        </a:p>
        <a:p>
          <a:r>
            <a:rPr lang="fr-FR" sz="1050" b="1" baseline="0">
              <a:solidFill>
                <a:schemeClr val="dk1"/>
              </a:solidFill>
              <a:effectLst/>
              <a:latin typeface="Arial" panose="020B0604020202020204" pitchFamily="34" charset="0"/>
              <a:ea typeface="+mn-ea"/>
              <a:cs typeface="Arial" panose="020B0604020202020204" pitchFamily="34" charset="0"/>
            </a:rPr>
            <a:t>Bruit rayonné : important si VMC dans local non isolé phonique</a:t>
          </a:r>
          <a:endParaRPr lang="fr-FR" sz="1050">
            <a:effectLst/>
            <a:latin typeface="Arial" panose="020B0604020202020204" pitchFamily="34" charset="0"/>
            <a:cs typeface="Arial" panose="020B0604020202020204" pitchFamily="34" charset="0"/>
          </a:endParaRPr>
        </a:p>
        <a:p>
          <a:r>
            <a:rPr lang="fr-FR" sz="1050" b="1" baseline="0">
              <a:solidFill>
                <a:schemeClr val="dk1"/>
              </a:solidFill>
              <a:effectLst/>
              <a:latin typeface="Arial" panose="020B0604020202020204" pitchFamily="34" charset="0"/>
              <a:ea typeface="+mn-ea"/>
              <a:cs typeface="Arial" panose="020B0604020202020204" pitchFamily="34" charset="0"/>
            </a:rPr>
            <a:t>Bruit à l'aspiration : important (nécessité dispositifs atténuateurs)</a:t>
          </a:r>
          <a:endParaRPr lang="fr-FR" sz="1050">
            <a:effectLst/>
            <a:latin typeface="Arial" panose="020B0604020202020204" pitchFamily="34" charset="0"/>
            <a:cs typeface="Arial" panose="020B0604020202020204" pitchFamily="34" charset="0"/>
          </a:endParaRPr>
        </a:p>
      </xdr:txBody>
    </xdr:sp>
    <xdr:clientData/>
  </xdr:twoCellAnchor>
  <xdr:twoCellAnchor>
    <xdr:from>
      <xdr:col>5</xdr:col>
      <xdr:colOff>573405</xdr:colOff>
      <xdr:row>311</xdr:row>
      <xdr:rowOff>41909</xdr:rowOff>
    </xdr:from>
    <xdr:to>
      <xdr:col>12</xdr:col>
      <xdr:colOff>301003</xdr:colOff>
      <xdr:row>313</xdr:row>
      <xdr:rowOff>944720</xdr:rowOff>
    </xdr:to>
    <xdr:sp macro="" textlink="">
      <xdr:nvSpPr>
        <xdr:cNvPr id="83" name="ZoneTexte 82"/>
        <xdr:cNvSpPr txBox="1"/>
      </xdr:nvSpPr>
      <xdr:spPr>
        <a:xfrm>
          <a:off x="5078730" y="43485434"/>
          <a:ext cx="4699648" cy="1302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050" u="sng">
              <a:latin typeface="Aril"/>
            </a:rPr>
            <a:t/>
          </a:r>
          <a:br>
            <a:rPr lang="fr-FR" sz="1050" u="sng">
              <a:latin typeface="Aril"/>
            </a:rPr>
          </a:br>
          <a:r>
            <a:rPr lang="fr-FR" sz="1050" b="1" u="sng">
              <a:latin typeface="Aril"/>
            </a:rPr>
            <a:t>Le</a:t>
          </a:r>
          <a:r>
            <a:rPr lang="fr-FR" sz="1050" b="1" u="sng" baseline="0">
              <a:latin typeface="Aril"/>
            </a:rPr>
            <a:t> bilan déperditif est basé sur le besoin de chauffage</a:t>
          </a:r>
          <a:endParaRPr lang="fr-FR" sz="1050" b="1" u="sng">
            <a:latin typeface="Aril"/>
          </a:endParaRPr>
        </a:p>
        <a:p>
          <a:r>
            <a:rPr lang="fr-FR" sz="1050">
              <a:latin typeface="Aril"/>
            </a:rPr>
            <a:t>Il compare</a:t>
          </a:r>
          <a:r>
            <a:rPr lang="fr-FR" sz="1050" baseline="0">
              <a:latin typeface="Aril"/>
            </a:rPr>
            <a:t> les niveaux de déperditions aérauliques dues à la ventilation et l'étanchéité à l'air, le calcul "projet" est comparé à des valeurs standards obtenues sur différentes démarches.</a:t>
          </a:r>
          <a:br>
            <a:rPr lang="fr-FR" sz="1050" baseline="0">
              <a:latin typeface="Aril"/>
            </a:rPr>
          </a:br>
          <a:r>
            <a:rPr lang="fr-FR" sz="1050" baseline="0">
              <a:latin typeface="Aril"/>
            </a:rPr>
            <a:t>Ex : vous voulez respecter une démarche passive. Tentez de descendre sous les 5 kWh/m².an</a:t>
          </a:r>
          <a:endParaRPr lang="fr-FR" sz="1050">
            <a:latin typeface="Aril"/>
          </a:endParaRPr>
        </a:p>
        <a:p>
          <a:endParaRPr lang="fr-FR" sz="1400">
            <a:solidFill>
              <a:schemeClr val="dk1"/>
            </a:solidFill>
            <a:latin typeface="+mn-lt"/>
            <a:ea typeface="+mn-ea"/>
            <a:cs typeface="+mn-cs"/>
          </a:endParaRPr>
        </a:p>
      </xdr:txBody>
    </xdr:sp>
    <xdr:clientData/>
  </xdr:twoCellAnchor>
  <xdr:twoCellAnchor>
    <xdr:from>
      <xdr:col>1</xdr:col>
      <xdr:colOff>76200</xdr:colOff>
      <xdr:row>311</xdr:row>
      <xdr:rowOff>51435</xdr:rowOff>
    </xdr:from>
    <xdr:to>
      <xdr:col>5</xdr:col>
      <xdr:colOff>457200</xdr:colOff>
      <xdr:row>313</xdr:row>
      <xdr:rowOff>925339</xdr:rowOff>
    </xdr:to>
    <xdr:sp macro="" textlink="">
      <xdr:nvSpPr>
        <xdr:cNvPr id="85" name="ZoneTexte 84"/>
        <xdr:cNvSpPr txBox="1"/>
      </xdr:nvSpPr>
      <xdr:spPr>
        <a:xfrm>
          <a:off x="352425" y="43494960"/>
          <a:ext cx="4610100" cy="12739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FR" sz="1050" u="sng">
              <a:latin typeface="Arial" panose="020B0604020202020204" pitchFamily="34" charset="0"/>
              <a:cs typeface="Arial" panose="020B0604020202020204" pitchFamily="34" charset="0"/>
            </a:rPr>
            <a:t/>
          </a:r>
          <a:br>
            <a:rPr lang="fr-FR" sz="1050" u="sng">
              <a:latin typeface="Arial" panose="020B0604020202020204" pitchFamily="34" charset="0"/>
              <a:cs typeface="Arial" panose="020B0604020202020204" pitchFamily="34" charset="0"/>
            </a:rPr>
          </a:br>
          <a:r>
            <a:rPr lang="fr-FR" sz="1050" b="1" u="sng">
              <a:latin typeface="Arial" panose="020B0604020202020204" pitchFamily="34" charset="0"/>
              <a:cs typeface="Arial" panose="020B0604020202020204" pitchFamily="34" charset="0"/>
            </a:rPr>
            <a:t>Le</a:t>
          </a:r>
          <a:r>
            <a:rPr lang="fr-FR" sz="1050" b="1" u="sng" baseline="0">
              <a:latin typeface="Arial" panose="020B0604020202020204" pitchFamily="34" charset="0"/>
              <a:cs typeface="Arial" panose="020B0604020202020204" pitchFamily="34" charset="0"/>
            </a:rPr>
            <a:t> bilan économique</a:t>
          </a:r>
          <a:endParaRPr lang="fr-FR" sz="1050" b="1" u="sng">
            <a:latin typeface="Arial" panose="020B0604020202020204" pitchFamily="34" charset="0"/>
            <a:cs typeface="Arial" panose="020B0604020202020204" pitchFamily="34" charset="0"/>
          </a:endParaRPr>
        </a:p>
        <a:p>
          <a:r>
            <a:rPr lang="fr-FR" sz="1050">
              <a:solidFill>
                <a:schemeClr val="dk1"/>
              </a:solidFill>
              <a:latin typeface="Arial" panose="020B0604020202020204" pitchFamily="34" charset="0"/>
              <a:ea typeface="+mn-ea"/>
              <a:cs typeface="Arial" panose="020B0604020202020204" pitchFamily="34" charset="0"/>
            </a:rPr>
            <a:t>Attention car le bilan économique</a:t>
          </a:r>
          <a:r>
            <a:rPr lang="fr-FR" sz="1050" baseline="0">
              <a:solidFill>
                <a:schemeClr val="dk1"/>
              </a:solidFill>
              <a:latin typeface="Arial" panose="020B0604020202020204" pitchFamily="34" charset="0"/>
              <a:ea typeface="+mn-ea"/>
              <a:cs typeface="Arial" panose="020B0604020202020204" pitchFamily="34" charset="0"/>
            </a:rPr>
            <a:t> est en grande partie lié au prix de l'énergie utilisé pour le chauffage. Ce paramètre peut faire varier du simple au double les économies de fonctionnement.</a:t>
          </a:r>
        </a:p>
        <a:p>
          <a:r>
            <a:rPr lang="fr-FR" sz="1050" baseline="0">
              <a:solidFill>
                <a:schemeClr val="dk1"/>
              </a:solidFill>
              <a:latin typeface="Arial" panose="020B0604020202020204" pitchFamily="34" charset="0"/>
              <a:ea typeface="+mn-ea"/>
              <a:cs typeface="Arial" panose="020B0604020202020204" pitchFamily="34" charset="0"/>
            </a:rPr>
            <a:t>Les économies du puits canadien incluent le rafraichissement estival (sauf si aucune surchauffe n'est indiquée)</a:t>
          </a:r>
        </a:p>
        <a:p>
          <a:endParaRPr lang="fr-FR" sz="1050" baseline="0">
            <a:solidFill>
              <a:schemeClr val="dk1"/>
            </a:solidFill>
            <a:latin typeface="+mn-lt"/>
            <a:ea typeface="+mn-ea"/>
            <a:cs typeface="+mn-cs"/>
          </a:endParaRPr>
        </a:p>
      </xdr:txBody>
    </xdr:sp>
    <xdr:clientData/>
  </xdr:twoCellAnchor>
  <xdr:twoCellAnchor>
    <xdr:from>
      <xdr:col>12</xdr:col>
      <xdr:colOff>421005</xdr:colOff>
      <xdr:row>311</xdr:row>
      <xdr:rowOff>38099</xdr:rowOff>
    </xdr:from>
    <xdr:to>
      <xdr:col>16</xdr:col>
      <xdr:colOff>1295402</xdr:colOff>
      <xdr:row>313</xdr:row>
      <xdr:rowOff>944721</xdr:rowOff>
    </xdr:to>
    <xdr:sp macro="" textlink="">
      <xdr:nvSpPr>
        <xdr:cNvPr id="86" name="ZoneTexte 85"/>
        <xdr:cNvSpPr txBox="1"/>
      </xdr:nvSpPr>
      <xdr:spPr>
        <a:xfrm>
          <a:off x="9898380" y="43481624"/>
          <a:ext cx="4131947" cy="1306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lang="fr-FR" sz="1050" b="1" u="sng">
              <a:latin typeface="Arial" panose="020B0604020202020204" pitchFamily="34" charset="0"/>
              <a:cs typeface="Arial" panose="020B0604020202020204" pitchFamily="34" charset="0"/>
            </a:rPr>
            <a:t>Zoom</a:t>
          </a:r>
          <a:r>
            <a:rPr lang="fr-FR" sz="1050" b="1" u="sng" baseline="0">
              <a:latin typeface="Arial" panose="020B0604020202020204" pitchFamily="34" charset="0"/>
              <a:cs typeface="Arial" panose="020B0604020202020204" pitchFamily="34" charset="0"/>
            </a:rPr>
            <a:t> sur les déperditions aérauliques</a:t>
          </a:r>
          <a:endParaRPr lang="fr-FR" sz="1050" b="1" u="sng">
            <a:latin typeface="Arial" panose="020B0604020202020204" pitchFamily="34" charset="0"/>
            <a:cs typeface="Arial" panose="020B0604020202020204" pitchFamily="34" charset="0"/>
          </a:endParaRPr>
        </a:p>
        <a:p>
          <a:r>
            <a:rPr lang="fr-FR" sz="1050" baseline="0">
              <a:solidFill>
                <a:schemeClr val="dk1"/>
              </a:solidFill>
              <a:latin typeface="Arial" panose="020B0604020202020204" pitchFamily="34" charset="0"/>
              <a:ea typeface="+mn-ea"/>
              <a:cs typeface="Arial" panose="020B0604020202020204" pitchFamily="34" charset="0"/>
            </a:rPr>
            <a:t>La valeur du bilan déperditif "projet" est détaillée pour faire ressortir la part des fuites d'étanchéité et celle due au système de ventilation.</a:t>
          </a:r>
          <a:br>
            <a:rPr lang="fr-FR" sz="1050" baseline="0">
              <a:solidFill>
                <a:schemeClr val="dk1"/>
              </a:solidFill>
              <a:latin typeface="Arial" panose="020B0604020202020204" pitchFamily="34" charset="0"/>
              <a:ea typeface="+mn-ea"/>
              <a:cs typeface="Arial" panose="020B0604020202020204" pitchFamily="34" charset="0"/>
            </a:rPr>
          </a:br>
          <a:r>
            <a:rPr lang="fr-FR" sz="1050" baseline="0">
              <a:solidFill>
                <a:schemeClr val="dk1"/>
              </a:solidFill>
              <a:latin typeface="Arial" panose="020B0604020202020204" pitchFamily="34" charset="0"/>
              <a:ea typeface="+mn-ea"/>
              <a:cs typeface="Arial" panose="020B0604020202020204" pitchFamily="34" charset="0"/>
            </a:rPr>
            <a:t>La valeur en % des gains RC correspond au bilan global VMC DF + puits canadien</a:t>
          </a:r>
        </a:p>
        <a:p>
          <a:endParaRPr lang="fr-FR" sz="1050" baseline="0">
            <a:solidFill>
              <a:schemeClr val="dk1"/>
            </a:solidFill>
            <a:latin typeface="+mn-lt"/>
            <a:ea typeface="+mn-ea"/>
            <a:cs typeface="+mn-cs"/>
          </a:endParaRPr>
        </a:p>
      </xdr:txBody>
    </xdr:sp>
    <xdr:clientData/>
  </xdr:twoCellAnchor>
  <xdr:twoCellAnchor>
    <xdr:from>
      <xdr:col>22</xdr:col>
      <xdr:colOff>0</xdr:colOff>
      <xdr:row>284</xdr:row>
      <xdr:rowOff>0</xdr:rowOff>
    </xdr:from>
    <xdr:to>
      <xdr:col>26</xdr:col>
      <xdr:colOff>0</xdr:colOff>
      <xdr:row>310</xdr:row>
      <xdr:rowOff>152400</xdr:rowOff>
    </xdr:to>
    <xdr:graphicFrame macro="">
      <xdr:nvGraphicFramePr>
        <xdr:cNvPr id="87"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19</xdr:col>
      <xdr:colOff>390525</xdr:colOff>
      <xdr:row>284</xdr:row>
      <xdr:rowOff>0</xdr:rowOff>
    </xdr:from>
    <xdr:to>
      <xdr:col>21</xdr:col>
      <xdr:colOff>895350</xdr:colOff>
      <xdr:row>310</xdr:row>
      <xdr:rowOff>152400</xdr:rowOff>
    </xdr:to>
    <xdr:graphicFrame macro="">
      <xdr:nvGraphicFramePr>
        <xdr:cNvPr id="88"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152400</xdr:colOff>
      <xdr:row>512</xdr:row>
      <xdr:rowOff>76200</xdr:rowOff>
    </xdr:from>
    <xdr:to>
      <xdr:col>3</xdr:col>
      <xdr:colOff>209550</xdr:colOff>
      <xdr:row>514</xdr:row>
      <xdr:rowOff>104775</xdr:rowOff>
    </xdr:to>
    <xdr:sp macro="" textlink="$T$501">
      <xdr:nvSpPr>
        <xdr:cNvPr id="4" name="ZoneTexte 3"/>
        <xdr:cNvSpPr txBox="1"/>
      </xdr:nvSpPr>
      <xdr:spPr>
        <a:xfrm>
          <a:off x="2238375" y="106870500"/>
          <a:ext cx="895350"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fld id="{709A0491-5CED-482A-A63A-114C8A4EBFF3}" type="TxLink">
            <a:rPr lang="en-US" sz="2400" b="0" i="0" u="none" strike="noStrike">
              <a:solidFill>
                <a:srgbClr val="000000"/>
              </a:solidFill>
              <a:latin typeface="Calibri"/>
              <a:cs typeface="Calibri"/>
            </a:rPr>
            <a:pPr algn="ctr"/>
            <a:t>144</a:t>
          </a:fld>
          <a:endParaRPr lang="fr-FR" sz="2400"/>
        </a:p>
      </xdr:txBody>
    </xdr:sp>
    <xdr:clientData/>
  </xdr:twoCellAnchor>
  <xdr:twoCellAnchor>
    <xdr:from>
      <xdr:col>4</xdr:col>
      <xdr:colOff>85725</xdr:colOff>
      <xdr:row>512</xdr:row>
      <xdr:rowOff>85725</xdr:rowOff>
    </xdr:from>
    <xdr:to>
      <xdr:col>4</xdr:col>
      <xdr:colOff>981075</xdr:colOff>
      <xdr:row>514</xdr:row>
      <xdr:rowOff>114300</xdr:rowOff>
    </xdr:to>
    <xdr:sp macro="" textlink="$T$502">
      <xdr:nvSpPr>
        <xdr:cNvPr id="65" name="ZoneTexte 64"/>
        <xdr:cNvSpPr txBox="1"/>
      </xdr:nvSpPr>
      <xdr:spPr>
        <a:xfrm>
          <a:off x="3276600" y="106880025"/>
          <a:ext cx="895350"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fld id="{7968CF57-4B77-4C9B-B26F-BBF478A0AC34}" type="TxLink">
            <a:rPr lang="en-US" sz="2400" b="0" i="0" u="none" strike="noStrike">
              <a:solidFill>
                <a:srgbClr val="000000"/>
              </a:solidFill>
              <a:latin typeface="Calibri"/>
              <a:cs typeface="Calibri"/>
            </a:rPr>
            <a:t>195</a:t>
          </a:fld>
          <a:endParaRPr lang="fr-FR" sz="2400">
            <a:latin typeface="Calibri" panose="020F0502020204030204" pitchFamily="34" charset="0"/>
            <a:cs typeface="Calibri" panose="020F0502020204030204" pitchFamily="34" charset="0"/>
          </a:endParaRPr>
        </a:p>
      </xdr:txBody>
    </xdr:sp>
    <xdr:clientData/>
  </xdr:twoCellAnchor>
  <xdr:twoCellAnchor>
    <xdr:from>
      <xdr:col>7</xdr:col>
      <xdr:colOff>781050</xdr:colOff>
      <xdr:row>491</xdr:row>
      <xdr:rowOff>85725</xdr:rowOff>
    </xdr:from>
    <xdr:to>
      <xdr:col>14</xdr:col>
      <xdr:colOff>952500</xdr:colOff>
      <xdr:row>491</xdr:row>
      <xdr:rowOff>117201</xdr:rowOff>
    </xdr:to>
    <xdr:cxnSp macro="">
      <xdr:nvCxnSpPr>
        <xdr:cNvPr id="72" name="Connecteur droit avec flèche 71"/>
        <xdr:cNvCxnSpPr/>
      </xdr:nvCxnSpPr>
      <xdr:spPr>
        <a:xfrm flipV="1">
          <a:off x="6638925" y="102593775"/>
          <a:ext cx="4972050" cy="3147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232576</xdr:colOff>
      <xdr:row>490</xdr:row>
      <xdr:rowOff>95250</xdr:rowOff>
    </xdr:from>
    <xdr:ext cx="2054730" cy="261931"/>
    <xdr:sp macro="" textlink="">
      <xdr:nvSpPr>
        <xdr:cNvPr id="75" name="ZoneTexte 74"/>
        <xdr:cNvSpPr txBox="1"/>
      </xdr:nvSpPr>
      <xdr:spPr>
        <a:xfrm>
          <a:off x="6957226" y="102403275"/>
          <a:ext cx="2054730" cy="2619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fr-FR" sz="1100"/>
            <a:t>Critère 2 : Air neuf par pièce</a:t>
          </a:r>
        </a:p>
      </xdr:txBody>
    </xdr:sp>
    <xdr:clientData/>
  </xdr:oneCellAnchor>
  <xdr:twoCellAnchor>
    <xdr:from>
      <xdr:col>15</xdr:col>
      <xdr:colOff>771525</xdr:colOff>
      <xdr:row>478</xdr:row>
      <xdr:rowOff>88873</xdr:rowOff>
    </xdr:from>
    <xdr:to>
      <xdr:col>16</xdr:col>
      <xdr:colOff>1479736</xdr:colOff>
      <xdr:row>478</xdr:row>
      <xdr:rowOff>528895</xdr:rowOff>
    </xdr:to>
    <xdr:pic>
      <xdr:nvPicPr>
        <xdr:cNvPr id="76" name="Image 75">
          <a:hlinkClick xmlns:r="http://schemas.openxmlformats.org/officeDocument/2006/relationships" r:id="rId15"/>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2668250" y="100006123"/>
          <a:ext cx="1546411" cy="440022"/>
        </a:xfrm>
        <a:prstGeom prst="rect">
          <a:avLst/>
        </a:prstGeom>
        <a:ln>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704850</xdr:colOff>
      <xdr:row>73</xdr:row>
      <xdr:rowOff>66675</xdr:rowOff>
    </xdr:from>
    <xdr:to>
      <xdr:col>7</xdr:col>
      <xdr:colOff>285750</xdr:colOff>
      <xdr:row>84</xdr:row>
      <xdr:rowOff>76200</xdr:rowOff>
    </xdr:to>
    <xdr:pic>
      <xdr:nvPicPr>
        <xdr:cNvPr id="1067443" name="Image 9" descr="Image66.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1650" y="14782800"/>
          <a:ext cx="4286250" cy="2124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38100</xdr:colOff>
      <xdr:row>99</xdr:row>
      <xdr:rowOff>142875</xdr:rowOff>
    </xdr:from>
    <xdr:to>
      <xdr:col>5</xdr:col>
      <xdr:colOff>333375</xdr:colOff>
      <xdr:row>108</xdr:row>
      <xdr:rowOff>76200</xdr:rowOff>
    </xdr:to>
    <xdr:pic>
      <xdr:nvPicPr>
        <xdr:cNvPr id="1067444" name="Image 10" descr="Image67.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28800" y="19840575"/>
          <a:ext cx="3095625" cy="168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219075</xdr:colOff>
      <xdr:row>113</xdr:row>
      <xdr:rowOff>38100</xdr:rowOff>
    </xdr:from>
    <xdr:to>
      <xdr:col>15</xdr:col>
      <xdr:colOff>514350</xdr:colOff>
      <xdr:row>128</xdr:row>
      <xdr:rowOff>104775</xdr:rowOff>
    </xdr:to>
    <xdr:pic>
      <xdr:nvPicPr>
        <xdr:cNvPr id="1067445" name="Image 3" descr="Image1.p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86750" y="22440900"/>
          <a:ext cx="3457575" cy="281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356235</xdr:colOff>
      <xdr:row>118</xdr:row>
      <xdr:rowOff>15240</xdr:rowOff>
    </xdr:from>
    <xdr:to>
      <xdr:col>16</xdr:col>
      <xdr:colOff>45</xdr:colOff>
      <xdr:row>122</xdr:row>
      <xdr:rowOff>171639</xdr:rowOff>
    </xdr:to>
    <xdr:cxnSp macro="">
      <xdr:nvCxnSpPr>
        <xdr:cNvPr id="8" name="Connecteur droit avec flèche 7"/>
        <xdr:cNvCxnSpPr/>
      </xdr:nvCxnSpPr>
      <xdr:spPr>
        <a:xfrm flipH="1">
          <a:off x="9997440" y="20284440"/>
          <a:ext cx="2026920" cy="84582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114300</xdr:colOff>
      <xdr:row>131</xdr:row>
      <xdr:rowOff>180975</xdr:rowOff>
    </xdr:from>
    <xdr:to>
      <xdr:col>15</xdr:col>
      <xdr:colOff>438150</xdr:colOff>
      <xdr:row>148</xdr:row>
      <xdr:rowOff>28575</xdr:rowOff>
    </xdr:to>
    <xdr:pic>
      <xdr:nvPicPr>
        <xdr:cNvPr id="1067447" name="Image 9" descr="Image2.p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181975" y="25879425"/>
          <a:ext cx="3486150" cy="320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520065</xdr:colOff>
      <xdr:row>135</xdr:row>
      <xdr:rowOff>45720</xdr:rowOff>
    </xdr:from>
    <xdr:to>
      <xdr:col>15</xdr:col>
      <xdr:colOff>777241</xdr:colOff>
      <xdr:row>142</xdr:row>
      <xdr:rowOff>116198</xdr:rowOff>
    </xdr:to>
    <xdr:cxnSp macro="">
      <xdr:nvCxnSpPr>
        <xdr:cNvPr id="12" name="Connecteur droit avec flèche 11"/>
        <xdr:cNvCxnSpPr/>
      </xdr:nvCxnSpPr>
      <xdr:spPr>
        <a:xfrm flipH="1">
          <a:off x="10942320" y="23294340"/>
          <a:ext cx="1059180" cy="128778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241935</xdr:colOff>
      <xdr:row>120</xdr:row>
      <xdr:rowOff>114300</xdr:rowOff>
    </xdr:from>
    <xdr:to>
      <xdr:col>16</xdr:col>
      <xdr:colOff>13335</xdr:colOff>
      <xdr:row>121</xdr:row>
      <xdr:rowOff>83820</xdr:rowOff>
    </xdr:to>
    <xdr:cxnSp macro="">
      <xdr:nvCxnSpPr>
        <xdr:cNvPr id="18" name="Connecteur droit avec flèche 17"/>
        <xdr:cNvCxnSpPr/>
      </xdr:nvCxnSpPr>
      <xdr:spPr>
        <a:xfrm flipH="1">
          <a:off x="11475720" y="20734020"/>
          <a:ext cx="571500" cy="14478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50110</xdr:colOff>
      <xdr:row>142</xdr:row>
      <xdr:rowOff>21783</xdr:rowOff>
    </xdr:from>
    <xdr:to>
      <xdr:col>15</xdr:col>
      <xdr:colOff>789241</xdr:colOff>
      <xdr:row>145</xdr:row>
      <xdr:rowOff>53031</xdr:rowOff>
    </xdr:to>
    <xdr:cxnSp macro="">
      <xdr:nvCxnSpPr>
        <xdr:cNvPr id="21" name="Connecteur droit avec flèche 20"/>
        <xdr:cNvCxnSpPr/>
      </xdr:nvCxnSpPr>
      <xdr:spPr>
        <a:xfrm flipH="1">
          <a:off x="11284226" y="24456887"/>
          <a:ext cx="729532" cy="5499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304800</xdr:colOff>
      <xdr:row>125</xdr:row>
      <xdr:rowOff>79513</xdr:rowOff>
    </xdr:from>
    <xdr:to>
      <xdr:col>15</xdr:col>
      <xdr:colOff>778567</xdr:colOff>
      <xdr:row>125</xdr:row>
      <xdr:rowOff>113059</xdr:rowOff>
    </xdr:to>
    <xdr:cxnSp macro="">
      <xdr:nvCxnSpPr>
        <xdr:cNvPr id="23" name="Connecteur droit avec flèche 22"/>
        <xdr:cNvCxnSpPr/>
      </xdr:nvCxnSpPr>
      <xdr:spPr>
        <a:xfrm flipH="1" flipV="1">
          <a:off x="10727635" y="21289617"/>
          <a:ext cx="1275523" cy="1987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95250</xdr:colOff>
      <xdr:row>148</xdr:row>
      <xdr:rowOff>161925</xdr:rowOff>
    </xdr:from>
    <xdr:to>
      <xdr:col>15</xdr:col>
      <xdr:colOff>447675</xdr:colOff>
      <xdr:row>158</xdr:row>
      <xdr:rowOff>123825</xdr:rowOff>
    </xdr:to>
    <xdr:pic>
      <xdr:nvPicPr>
        <xdr:cNvPr id="1067452" name="Image 24" descr="Image3.p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162925" y="29222700"/>
          <a:ext cx="3514725" cy="176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728870</xdr:colOff>
      <xdr:row>154</xdr:row>
      <xdr:rowOff>101297</xdr:rowOff>
    </xdr:from>
    <xdr:to>
      <xdr:col>15</xdr:col>
      <xdr:colOff>762663</xdr:colOff>
      <xdr:row>155</xdr:row>
      <xdr:rowOff>170502</xdr:rowOff>
    </xdr:to>
    <xdr:cxnSp macro="">
      <xdr:nvCxnSpPr>
        <xdr:cNvPr id="26" name="Connecteur droit avec flèche 25"/>
        <xdr:cNvCxnSpPr/>
      </xdr:nvCxnSpPr>
      <xdr:spPr>
        <a:xfrm flipH="1">
          <a:off x="10349948" y="26557357"/>
          <a:ext cx="1637306" cy="2451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abiscope%20V5.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propos"/>
      <sheetName val="MAJ"/>
      <sheetName val="Moteur"/>
      <sheetName val="Data"/>
      <sheetName val="Bibliotheque"/>
      <sheetName val="Menuiseries-tools"/>
      <sheetName val="meteo"/>
      <sheetName val="Compositions parois"/>
      <sheetName val="Compositions parois (2)"/>
      <sheetName val="Prixenergie"/>
      <sheetName val="Données de base"/>
      <sheetName val="Suivi - Comparateur"/>
      <sheetName val="DCE"/>
      <sheetName val="DCE (2)"/>
      <sheetName val="APS - option géothermie passive"/>
      <sheetName val="Conso EP"/>
      <sheetName val="APS - option gaz bbc"/>
      <sheetName val="APS - option BBC brique lbois"/>
      <sheetName val="APS - option BBC brique PSE"/>
      <sheetName val="Rapports"/>
      <sheetName val="Traduction"/>
    </sheetNames>
    <sheetDataSet>
      <sheetData sheetId="0"/>
      <sheetData sheetId="1"/>
      <sheetData sheetId="2"/>
      <sheetData sheetId="3"/>
      <sheetData sheetId="4"/>
      <sheetData sheetId="5"/>
      <sheetData sheetId="6"/>
      <sheetData sheetId="7"/>
      <sheetData sheetId="8"/>
      <sheetData sheetId="9"/>
      <sheetData sheetId="10">
        <row r="75">
          <cell r="C75" t="str">
            <v>oui</v>
          </cell>
        </row>
      </sheetData>
      <sheetData sheetId="11"/>
      <sheetData sheetId="12"/>
      <sheetData sheetId="13"/>
      <sheetData sheetId="14"/>
      <sheetData sheetId="15"/>
      <sheetData sheetId="16"/>
      <sheetData sheetId="17"/>
      <sheetData sheetId="18"/>
      <sheetData sheetId="19"/>
      <sheetData sheetId="20"/>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riel">
  <a:themeElements>
    <a:clrScheme name="Oriel">
      <a:dk1>
        <a:sysClr val="windowText" lastClr="000000"/>
      </a:dk1>
      <a:lt1>
        <a:sysClr val="window" lastClr="FFFFFF"/>
      </a:lt1>
      <a:dk2>
        <a:srgbClr val="575F6D"/>
      </a:dk2>
      <a:lt2>
        <a:srgbClr val="FFF39D"/>
      </a:lt2>
      <a:accent1>
        <a:srgbClr val="FE8637"/>
      </a:accent1>
      <a:accent2>
        <a:srgbClr val="7598D9"/>
      </a:accent2>
      <a:accent3>
        <a:srgbClr val="B32C16"/>
      </a:accent3>
      <a:accent4>
        <a:srgbClr val="F5CD2D"/>
      </a:accent4>
      <a:accent5>
        <a:srgbClr val="AEBAD5"/>
      </a:accent5>
      <a:accent6>
        <a:srgbClr val="777C84"/>
      </a:accent6>
      <a:hlink>
        <a:srgbClr val="D2611C"/>
      </a:hlink>
      <a:folHlink>
        <a:srgbClr val="3B435B"/>
      </a:folHlink>
    </a:clrScheme>
    <a:fontScheme name="Oriel">
      <a:majorFont>
        <a:latin typeface="Century Schoolbook"/>
        <a:ea typeface=""/>
        <a:cs typeface=""/>
        <a:font script="Jpan" typeface="ＭＳ Ｐ明朝"/>
        <a:font script="Hang" typeface="휴먼매직체"/>
        <a:font script="Hans" typeface="华文楷体"/>
        <a:font script="Hant" typeface="新細明體"/>
        <a:font script="Arab" typeface="Times New Roman"/>
        <a:font script="Hebr" typeface="Times New Roman"/>
        <a:font script="Thai" typeface="Kodchiang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entury Schoolbook"/>
        <a:ea typeface=""/>
        <a:cs typeface=""/>
        <a:font script="Jpan" typeface="ＭＳ Ｐ明朝"/>
        <a:font script="Hang" typeface="휴먼매직체"/>
        <a:font script="Hans" typeface="宋体"/>
        <a:font script="Hant" typeface="新細明體"/>
        <a:font script="Arab" typeface="Times New Roman"/>
        <a:font script="Hebr" typeface="Times New Roman"/>
        <a:font script="Thai" typeface="Kodchiang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riel">
      <a:fillStyleLst>
        <a:solidFill>
          <a:schemeClr val="phClr"/>
        </a:solidFill>
        <a:gradFill rotWithShape="1">
          <a:gsLst>
            <a:gs pos="0">
              <a:schemeClr val="phClr">
                <a:tint val="35000"/>
                <a:satMod val="260000"/>
              </a:schemeClr>
            </a:gs>
            <a:gs pos="30000">
              <a:schemeClr val="phClr">
                <a:tint val="38000"/>
                <a:satMod val="260000"/>
              </a:schemeClr>
            </a:gs>
            <a:gs pos="75000">
              <a:schemeClr val="phClr">
                <a:tint val="55000"/>
                <a:satMod val="255000"/>
              </a:schemeClr>
            </a:gs>
            <a:gs pos="100000">
              <a:schemeClr val="phClr">
                <a:tint val="70000"/>
                <a:satMod val="255000"/>
              </a:schemeClr>
            </a:gs>
          </a:gsLst>
          <a:path path="circle">
            <a:fillToRect l="5000" t="100000" r="120000" b="10000"/>
          </a:path>
        </a:gradFill>
        <a:gradFill rotWithShape="1">
          <a:gsLst>
            <a:gs pos="0">
              <a:schemeClr val="phClr">
                <a:shade val="63000"/>
                <a:satMod val="165000"/>
              </a:schemeClr>
            </a:gs>
            <a:gs pos="30000">
              <a:schemeClr val="phClr">
                <a:shade val="58000"/>
                <a:satMod val="165000"/>
              </a:schemeClr>
            </a:gs>
            <a:gs pos="75000">
              <a:schemeClr val="phClr">
                <a:shade val="30000"/>
                <a:satMod val="175000"/>
              </a:schemeClr>
            </a:gs>
            <a:gs pos="100000">
              <a:schemeClr val="phClr">
                <a:shade val="15000"/>
                <a:satMod val="175000"/>
              </a:schemeClr>
            </a:gs>
          </a:gsLst>
          <a:path path="circle">
            <a:fillToRect l="5000" t="100000" r="120000" b="10000"/>
          </a:path>
        </a:gradFill>
      </a:fillStyleLst>
      <a:lnStyleLst>
        <a:ln w="12700" cap="flat" cmpd="sng" algn="ctr">
          <a:solidFill>
            <a:schemeClr val="phClr">
              <a:shade val="70000"/>
              <a:satMod val="150000"/>
            </a:schemeClr>
          </a:solidFill>
          <a:prstDash val="solid"/>
        </a:ln>
        <a:ln w="25400" cap="flat" cmpd="sng" algn="ctr">
          <a:solidFill>
            <a:schemeClr val="phClr"/>
          </a:solidFill>
          <a:prstDash val="solid"/>
        </a:ln>
        <a:ln w="34925" cap="flat" cmpd="sng" algn="ctr">
          <a:solidFill>
            <a:schemeClr val="phClr"/>
          </a:solidFill>
          <a:prstDash val="solid"/>
        </a:ln>
      </a:lnStyleLst>
      <a:effectStyleLst>
        <a:effectStyle>
          <a:effectLst>
            <a:outerShdw blurRad="50800" dist="25000" dir="5400000" rotWithShape="0">
              <a:srgbClr val="000000">
                <a:alpha val="40000"/>
              </a:srgbClr>
            </a:outerShdw>
          </a:effectLst>
        </a:effectStyle>
        <a:effectStyle>
          <a:effectLst>
            <a:outerShdw blurRad="50800" dist="20000" dir="5400000" rotWithShape="0">
              <a:srgbClr val="000000">
                <a:alpha val="42000"/>
              </a:srgbClr>
            </a:outerShdw>
          </a:effectLst>
        </a:effectStyle>
        <a:effectStyle>
          <a:effectLst>
            <a:outerShdw blurRad="50800" dist="20000" dir="5400000" rotWithShape="0">
              <a:srgbClr val="000000">
                <a:alpha val="42000"/>
              </a:srgbClr>
            </a:outerShdw>
          </a:effectLst>
          <a:scene3d>
            <a:camera prst="orthographicFront">
              <a:rot lat="0" lon="0" rev="0"/>
            </a:camera>
            <a:lightRig rig="balanced" dir="t">
              <a:rot lat="0" lon="0" rev="0"/>
            </a:lightRig>
          </a:scene3d>
          <a:sp3d>
            <a:bevelT w="47625" h="69850"/>
            <a:contourClr>
              <a:schemeClr val="lt1"/>
            </a:contourClr>
          </a:sp3d>
        </a:effectStyle>
      </a:effectStyleLst>
      <a:bgFillStyleLst>
        <a:solidFill>
          <a:schemeClr val="phClr"/>
        </a:solidFill>
        <a:gradFill rotWithShape="1">
          <a:gsLst>
            <a:gs pos="0">
              <a:schemeClr val="phClr">
                <a:shade val="58000"/>
                <a:satMod val="125000"/>
              </a:schemeClr>
            </a:gs>
            <a:gs pos="40000">
              <a:schemeClr val="phClr">
                <a:tint val="90000"/>
                <a:shade val="90000"/>
                <a:satMod val="120000"/>
              </a:schemeClr>
            </a:gs>
            <a:gs pos="100000">
              <a:schemeClr val="phClr">
                <a:tint val="50000"/>
              </a:schemeClr>
            </a:gs>
          </a:gsLst>
          <a:lin ang="16200000" scaled="1"/>
        </a:gradFill>
        <a:blipFill>
          <a:blip xmlns:r="http://schemas.openxmlformats.org/officeDocument/2006/relationships" r:embed="rId1">
            <a:duotone>
              <a:schemeClr val="phClr">
                <a:shade val="80000"/>
              </a:schemeClr>
              <a:schemeClr val="phClr">
                <a:tint val="91000"/>
              </a:schemeClr>
            </a:duotone>
          </a:blip>
          <a:tile tx="0" ty="0" sx="40000" sy="50000" flip="y" algn="tl"/>
        </a:blip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http://www.fiabitat.com/vmc-double-flux.php" TargetMode="External"/><Relationship Id="rId7" Type="http://schemas.openxmlformats.org/officeDocument/2006/relationships/vmlDrawing" Target="../drawings/vmlDrawing3.vml"/><Relationship Id="rId2" Type="http://schemas.openxmlformats.org/officeDocument/2006/relationships/hyperlink" Target="http://www.abcclim.net/degres-jour-dju.html" TargetMode="External"/><Relationship Id="rId1" Type="http://schemas.openxmlformats.org/officeDocument/2006/relationships/hyperlink" Target="http://fr.wikipedia.org/wiki/Degr%C3%A9_jour_unifi%C3%A9" TargetMode="External"/><Relationship Id="rId6" Type="http://schemas.openxmlformats.org/officeDocument/2006/relationships/drawing" Target="../drawings/drawing2.xml"/><Relationship Id="rId5" Type="http://schemas.openxmlformats.org/officeDocument/2006/relationships/hyperlink" Target="http://www.passiv.de/komponentendatenbank/files/pdf/uebergang/zd_dantherm_hcv3_de.pdf" TargetMode="External"/><Relationship Id="rId4" Type="http://schemas.openxmlformats.org/officeDocument/2006/relationships/hyperlink" Target="http://www.fiabitat.com/doctypes/2012-10-nf-deefly-cube-certificat.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fr.libreoffice.org/telecharg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F10" sqref="F10"/>
    </sheetView>
  </sheetViews>
  <sheetFormatPr baseColWidth="10" defaultRowHeight="15.7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570"/>
  <sheetViews>
    <sheetView showGridLines="0" tabSelected="1" topLeftCell="A477" zoomScaleNormal="100" workbookViewId="0">
      <selection activeCell="J496" sqref="J496"/>
    </sheetView>
  </sheetViews>
  <sheetFormatPr baseColWidth="10" defaultRowHeight="15.75" x14ac:dyDescent="0.25"/>
  <cols>
    <col min="1" max="1" width="3.625" customWidth="1"/>
    <col min="2" max="2" width="23.75" customWidth="1"/>
    <col min="4" max="4" width="3.5" customWidth="1"/>
    <col min="5" max="5" width="17.25" customWidth="1"/>
    <col min="6" max="6" width="13.375" bestFit="1" customWidth="1"/>
    <col min="7" max="7" width="4.375" customWidth="1"/>
    <col min="8" max="8" width="11.375" bestFit="1" customWidth="1"/>
    <col min="9" max="9" width="3.75" customWidth="1"/>
    <col min="10" max="10" width="14" bestFit="1" customWidth="1"/>
    <col min="11" max="11" width="5.125" customWidth="1"/>
    <col min="12" max="12" width="13.25" customWidth="1"/>
    <col min="13" max="13" width="12.875" customWidth="1"/>
    <col min="14" max="14" width="2.625" customWidth="1"/>
    <col min="15" max="15" width="16.25" bestFit="1" customWidth="1"/>
    <col min="17" max="17" width="20.625" customWidth="1"/>
    <col min="18" max="18" width="14.875" style="55" customWidth="1"/>
    <col min="19" max="19" width="9.25" style="55" customWidth="1"/>
    <col min="20" max="20" width="25.375" customWidth="1"/>
    <col min="21" max="21" width="22.625" customWidth="1"/>
    <col min="22" max="22" width="12.5" bestFit="1" customWidth="1"/>
    <col min="23" max="23" width="13" bestFit="1" customWidth="1"/>
    <col min="24" max="24" width="20.125" bestFit="1" customWidth="1"/>
    <col min="25" max="25" width="11" hidden="1" customWidth="1"/>
    <col min="26" max="26" width="26.625" customWidth="1"/>
    <col min="27" max="27" width="6.125" customWidth="1"/>
    <col min="28" max="29" width="6.5" customWidth="1"/>
    <col min="30" max="30" width="15.625" customWidth="1"/>
    <col min="31" max="31" width="5.125" customWidth="1"/>
    <col min="32" max="32" width="11" hidden="1" customWidth="1"/>
    <col min="33" max="33" width="23.5" customWidth="1"/>
    <col min="34" max="34" width="5.125" customWidth="1"/>
    <col min="35" max="35" width="12.875" customWidth="1"/>
    <col min="36" max="36" width="14.375" customWidth="1"/>
    <col min="37" max="37" width="4.125" customWidth="1"/>
    <col min="38" max="38" width="9.5" customWidth="1"/>
    <col min="39" max="39" width="19.25" customWidth="1"/>
    <col min="40" max="62" width="11" customWidth="1"/>
  </cols>
  <sheetData>
    <row r="1" spans="1:61" s="19" customFormat="1" ht="14.25" x14ac:dyDescent="0.2">
      <c r="A1" s="187"/>
      <c r="R1" s="67"/>
      <c r="S1" s="67"/>
      <c r="AY1" s="20"/>
      <c r="AZ1" s="20"/>
      <c r="BA1" s="20"/>
      <c r="BB1" s="20"/>
      <c r="BC1" s="20"/>
      <c r="BD1" s="20"/>
      <c r="BE1" s="20"/>
      <c r="BF1" s="20"/>
      <c r="BG1" s="20"/>
      <c r="BH1" s="20"/>
      <c r="BI1" s="20"/>
    </row>
    <row r="2" spans="1:61" s="19" customFormat="1" ht="51.75" customHeight="1" x14ac:dyDescent="0.2">
      <c r="B2" s="484" t="s">
        <v>636</v>
      </c>
      <c r="C2" s="485"/>
      <c r="D2" s="485"/>
      <c r="E2" s="485"/>
      <c r="F2" s="485"/>
      <c r="G2" s="485"/>
      <c r="H2" s="485"/>
      <c r="I2" s="485"/>
      <c r="J2" s="485"/>
      <c r="K2" s="485"/>
      <c r="L2" s="485"/>
      <c r="M2" s="485"/>
      <c r="O2" s="375"/>
      <c r="P2" s="486">
        <v>1.008</v>
      </c>
      <c r="Q2" s="376"/>
      <c r="R2" s="67"/>
      <c r="S2" s="67"/>
      <c r="AY2" s="20"/>
      <c r="AZ2" s="20"/>
      <c r="BA2" s="20"/>
      <c r="BB2" s="20"/>
      <c r="BC2" s="20"/>
      <c r="BD2" s="20"/>
      <c r="BE2" s="20"/>
      <c r="BF2" s="20"/>
      <c r="BG2" s="20"/>
      <c r="BH2" s="20"/>
      <c r="BI2" s="20"/>
    </row>
    <row r="3" spans="1:61" s="19" customFormat="1" ht="48" customHeight="1" x14ac:dyDescent="0.2">
      <c r="B3" s="484"/>
      <c r="C3" s="485"/>
      <c r="D3" s="485"/>
      <c r="E3" s="485"/>
      <c r="F3" s="485"/>
      <c r="G3" s="485"/>
      <c r="H3" s="485"/>
      <c r="I3" s="485"/>
      <c r="J3" s="485"/>
      <c r="K3" s="485"/>
      <c r="L3" s="485"/>
      <c r="M3" s="485"/>
      <c r="O3" s="433" t="s">
        <v>574</v>
      </c>
      <c r="P3" s="434"/>
      <c r="Q3" s="435"/>
      <c r="R3" s="67"/>
      <c r="S3" s="67"/>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60"/>
      <c r="AZ3" s="60"/>
      <c r="BA3" s="60"/>
      <c r="BB3" s="60"/>
      <c r="BC3" s="60"/>
      <c r="BD3" s="60"/>
      <c r="BE3" s="60"/>
      <c r="BF3" s="60"/>
      <c r="BG3" s="20"/>
      <c r="BH3" s="20"/>
      <c r="BI3" s="20"/>
    </row>
    <row r="4" spans="1:61" s="19" customFormat="1" ht="26.45" customHeight="1" x14ac:dyDescent="0.25">
      <c r="C4"/>
      <c r="D4"/>
      <c r="E4"/>
      <c r="F4"/>
      <c r="G4"/>
      <c r="H4"/>
      <c r="I4"/>
      <c r="R4" s="67"/>
      <c r="S4" s="67"/>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60"/>
      <c r="AZ4" s="60"/>
      <c r="BA4" s="60"/>
      <c r="BB4" s="60"/>
      <c r="BC4" s="60"/>
      <c r="BD4" s="60"/>
      <c r="BE4" s="60"/>
      <c r="BF4" s="60"/>
      <c r="BG4" s="20"/>
      <c r="BH4" s="20"/>
      <c r="BI4" s="20"/>
    </row>
    <row r="5" spans="1:61" ht="15.6" hidden="1" customHeight="1" x14ac:dyDescent="0.25">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row>
    <row r="6" spans="1:61" ht="15.75" hidden="1" customHeight="1" x14ac:dyDescent="0.25">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row>
    <row r="7" spans="1:61" ht="15.75" hidden="1" customHeight="1" x14ac:dyDescent="0.25">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row>
    <row r="8" spans="1:61" x14ac:dyDescent="0.25">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row>
    <row r="9" spans="1:61" ht="173.45" customHeight="1" x14ac:dyDescent="0.25">
      <c r="B9" s="400" t="s">
        <v>559</v>
      </c>
      <c r="C9" s="401"/>
      <c r="D9" s="401"/>
      <c r="E9" s="401"/>
      <c r="F9" s="307"/>
      <c r="G9" s="305"/>
      <c r="H9" s="305"/>
      <c r="I9" s="306"/>
      <c r="J9" s="304"/>
      <c r="K9" s="402" t="s">
        <v>588</v>
      </c>
      <c r="L9" s="403"/>
      <c r="M9" s="403"/>
      <c r="N9" s="403"/>
      <c r="O9" s="403"/>
      <c r="P9" s="403"/>
      <c r="Q9" s="40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row>
    <row r="10" spans="1:61" x14ac:dyDescent="0.25">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row>
    <row r="11" spans="1:61" ht="16.5" thickBot="1" x14ac:dyDescent="0.3">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row>
    <row r="12" spans="1:61" ht="16.5" thickBot="1" x14ac:dyDescent="0.3">
      <c r="B12" s="31" t="s">
        <v>153</v>
      </c>
      <c r="C12" s="458"/>
      <c r="D12" s="458"/>
      <c r="E12" s="458"/>
      <c r="F12" s="458"/>
      <c r="G12" s="458"/>
      <c r="H12" s="458"/>
      <c r="I12" s="459"/>
      <c r="K12" s="31" t="s">
        <v>154</v>
      </c>
      <c r="L12" s="32"/>
      <c r="M12" s="458"/>
      <c r="N12" s="458"/>
      <c r="O12" s="458"/>
      <c r="P12" s="458"/>
      <c r="Q12" s="459"/>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row>
    <row r="13" spans="1:61" ht="16.5" thickBot="1" x14ac:dyDescent="0.3">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row>
    <row r="14" spans="1:61" ht="47.25" customHeight="1" thickBot="1" x14ac:dyDescent="0.3">
      <c r="B14" s="374"/>
      <c r="C14" s="487" t="s">
        <v>595</v>
      </c>
      <c r="D14" s="370"/>
      <c r="E14" s="371"/>
      <c r="F14" s="371"/>
      <c r="G14" s="371"/>
      <c r="H14" s="371"/>
      <c r="I14" s="371"/>
      <c r="J14" s="371"/>
      <c r="K14" s="371"/>
      <c r="L14" s="371"/>
      <c r="M14" s="371"/>
      <c r="N14" s="371"/>
      <c r="O14" s="371"/>
      <c r="P14" s="371"/>
      <c r="Q14" s="372"/>
      <c r="R14" s="16"/>
      <c r="S14" s="16"/>
      <c r="T14" s="38"/>
      <c r="U14" s="38"/>
      <c r="V14" s="38"/>
      <c r="W14" s="38"/>
      <c r="X14" s="38"/>
      <c r="Y14" s="38"/>
      <c r="Z14" s="38"/>
      <c r="AA14" s="44"/>
      <c r="AB14" s="44"/>
      <c r="AC14" s="44"/>
      <c r="AD14" s="44"/>
      <c r="AE14" s="44"/>
      <c r="AF14" s="44"/>
      <c r="AG14" s="44"/>
      <c r="AH14" s="44"/>
      <c r="AI14" s="44"/>
      <c r="AJ14" s="44"/>
      <c r="AK14" s="44"/>
      <c r="AL14" s="44"/>
      <c r="AM14" s="44"/>
      <c r="AN14" s="44"/>
      <c r="AO14" s="44"/>
      <c r="AP14" s="55"/>
      <c r="AQ14" s="55"/>
      <c r="AR14" s="55"/>
      <c r="AS14" s="55"/>
      <c r="AT14" s="55"/>
      <c r="AU14" s="44"/>
      <c r="AV14" s="44"/>
      <c r="AW14" s="44"/>
      <c r="AX14" s="44"/>
      <c r="AY14" s="44"/>
      <c r="AZ14" s="44"/>
      <c r="BA14" s="44"/>
      <c r="BB14" s="44"/>
      <c r="BC14" s="44"/>
      <c r="BD14" s="44"/>
      <c r="BE14" s="44"/>
      <c r="BF14" s="44"/>
    </row>
    <row r="15" spans="1:61" ht="69" customHeight="1" thickBot="1" x14ac:dyDescent="0.3">
      <c r="B15" s="451" t="s">
        <v>601</v>
      </c>
      <c r="C15" s="452"/>
      <c r="D15" s="452"/>
      <c r="E15" s="452"/>
      <c r="F15" s="452"/>
      <c r="G15" s="452"/>
      <c r="H15" s="452"/>
      <c r="I15" s="452"/>
      <c r="J15" s="452"/>
      <c r="K15" s="452"/>
      <c r="L15" s="452"/>
      <c r="M15" s="452"/>
      <c r="N15" s="452"/>
      <c r="O15" s="452"/>
      <c r="P15" s="452"/>
      <c r="Q15" s="453"/>
      <c r="R15" s="16"/>
      <c r="S15" s="16"/>
      <c r="T15" s="38"/>
      <c r="U15" s="38"/>
      <c r="V15" s="38"/>
      <c r="W15" s="38"/>
      <c r="X15" s="38"/>
      <c r="Y15" s="38"/>
      <c r="Z15" s="38"/>
      <c r="AA15" s="44"/>
      <c r="AB15" s="44"/>
      <c r="AC15" s="44"/>
      <c r="AD15" s="44"/>
      <c r="AE15" s="44"/>
      <c r="AF15" s="44"/>
      <c r="AG15" s="44"/>
      <c r="AH15" s="44"/>
      <c r="AI15" s="44"/>
      <c r="AJ15" s="44"/>
      <c r="AK15" s="44">
        <v>0.95</v>
      </c>
      <c r="AL15" s="44" t="s">
        <v>561</v>
      </c>
      <c r="AM15" s="44" t="s">
        <v>562</v>
      </c>
      <c r="AN15" s="44" t="s">
        <v>563</v>
      </c>
      <c r="AO15" s="44" t="s">
        <v>564</v>
      </c>
      <c r="AP15" s="4">
        <v>1</v>
      </c>
      <c r="AQ15" s="4" t="s">
        <v>561</v>
      </c>
      <c r="AR15" s="4" t="s">
        <v>562</v>
      </c>
      <c r="AS15" s="4" t="s">
        <v>563</v>
      </c>
      <c r="AT15" s="4" t="s">
        <v>564</v>
      </c>
      <c r="AU15" s="44"/>
      <c r="AV15" s="44"/>
      <c r="AW15" s="44"/>
      <c r="AX15" s="44"/>
      <c r="AY15" s="44"/>
      <c r="AZ15" s="44"/>
      <c r="BA15" s="44"/>
      <c r="BB15" s="44"/>
      <c r="BC15" s="44"/>
      <c r="BD15" s="44"/>
      <c r="BE15" s="44"/>
      <c r="BF15" s="44"/>
    </row>
    <row r="16" spans="1:61" ht="18.75" customHeight="1" x14ac:dyDescent="0.25">
      <c r="B16" s="381" t="s">
        <v>596</v>
      </c>
      <c r="C16" s="382"/>
      <c r="D16" s="383"/>
      <c r="E16" s="383"/>
      <c r="F16" s="383"/>
      <c r="G16" s="383"/>
      <c r="H16" s="383"/>
      <c r="I16" s="384"/>
      <c r="J16" s="384"/>
      <c r="K16" s="384"/>
      <c r="L16" s="384"/>
      <c r="M16" s="384"/>
      <c r="N16" s="383"/>
      <c r="O16" s="384"/>
      <c r="P16" s="384"/>
      <c r="Q16" s="385"/>
      <c r="R16" s="16"/>
      <c r="S16" s="16"/>
      <c r="T16" s="38"/>
      <c r="U16" s="38"/>
      <c r="V16" s="38"/>
      <c r="W16" s="38"/>
      <c r="X16" s="38"/>
      <c r="Y16" s="38"/>
      <c r="Z16" s="38"/>
      <c r="AA16" s="44"/>
      <c r="AB16" s="44"/>
      <c r="AC16" s="44"/>
      <c r="AD16" s="44"/>
      <c r="AE16" s="44"/>
      <c r="AF16" s="44"/>
      <c r="AG16" s="44"/>
      <c r="AH16" s="44"/>
      <c r="AI16" s="44"/>
      <c r="AJ16" s="44"/>
      <c r="AK16" s="44">
        <v>0</v>
      </c>
      <c r="AL16" s="44">
        <v>0.95</v>
      </c>
      <c r="AM16" s="44">
        <v>0.95</v>
      </c>
      <c r="AN16" s="44">
        <v>0.95</v>
      </c>
      <c r="AO16" s="44">
        <v>0.95</v>
      </c>
      <c r="AP16" s="4">
        <v>0</v>
      </c>
      <c r="AQ16" s="4">
        <f>AL16+0.05-1</f>
        <v>0</v>
      </c>
      <c r="AR16" s="4">
        <f>AM16+0.05-1</f>
        <v>0</v>
      </c>
      <c r="AS16" s="4">
        <f>AN16+0.05-1</f>
        <v>0</v>
      </c>
      <c r="AT16" s="4">
        <f>AO16+0.05-1</f>
        <v>0</v>
      </c>
      <c r="AU16" s="44"/>
      <c r="AV16" s="44"/>
      <c r="AW16" s="44"/>
      <c r="AX16" s="44"/>
      <c r="AY16" s="44"/>
      <c r="AZ16" s="44"/>
      <c r="BA16" s="44"/>
      <c r="BB16" s="44"/>
      <c r="BC16" s="44"/>
      <c r="BD16" s="44"/>
      <c r="BE16" s="44"/>
      <c r="BF16" s="44"/>
    </row>
    <row r="17" spans="2:58" ht="18.75" customHeight="1" x14ac:dyDescent="0.4">
      <c r="B17" s="30"/>
      <c r="C17" s="2"/>
      <c r="D17" s="2"/>
      <c r="E17" s="2"/>
      <c r="F17" s="2"/>
      <c r="G17" s="2"/>
      <c r="H17" s="2"/>
      <c r="I17" s="2"/>
      <c r="J17" s="2"/>
      <c r="K17" s="2"/>
      <c r="L17" s="2"/>
      <c r="M17" s="2"/>
      <c r="N17" s="2"/>
      <c r="O17" s="2"/>
      <c r="P17" s="2"/>
      <c r="Q17" s="9"/>
      <c r="R17" s="16"/>
      <c r="S17" s="16"/>
      <c r="T17" s="38"/>
      <c r="U17" s="38"/>
      <c r="V17" s="38"/>
      <c r="W17" s="38"/>
      <c r="X17" s="38"/>
      <c r="Y17" s="38"/>
      <c r="Z17" s="38"/>
      <c r="AA17" s="44"/>
      <c r="AB17" s="44"/>
      <c r="AC17" s="44"/>
      <c r="AD17" s="44"/>
      <c r="AE17" s="44"/>
      <c r="AF17" s="44"/>
      <c r="AG17" s="44"/>
      <c r="AH17" s="44"/>
      <c r="AI17" s="44"/>
      <c r="AJ17" s="44"/>
      <c r="AK17" s="44">
        <v>1</v>
      </c>
      <c r="AL17" s="44">
        <v>0.90300000000000002</v>
      </c>
      <c r="AM17" s="44">
        <v>0.93600000000000005</v>
      </c>
      <c r="AN17" s="44">
        <v>0.94099999999999995</v>
      </c>
      <c r="AO17" s="44">
        <v>0.94399999999999995</v>
      </c>
      <c r="AP17" s="4">
        <v>1</v>
      </c>
      <c r="AQ17" s="4">
        <f t="shared" ref="AQ17:AQ24" si="0">AL17+0.05-1</f>
        <v>-4.6999999999999931E-2</v>
      </c>
      <c r="AR17" s="4">
        <f t="shared" ref="AR17:AR24" si="1">AM17+0.05-1</f>
        <v>-1.3999999999999901E-2</v>
      </c>
      <c r="AS17" s="4">
        <f t="shared" ref="AS17:AS24" si="2">AN17+0.05-1</f>
        <v>-9.000000000000008E-3</v>
      </c>
      <c r="AT17" s="4">
        <f t="shared" ref="AT17:AT24" si="3">AO17+0.05-1</f>
        <v>-6.0000000000000053E-3</v>
      </c>
      <c r="AU17" s="44"/>
      <c r="AV17" s="44"/>
      <c r="AW17" s="44"/>
      <c r="AX17" s="44"/>
      <c r="AY17" s="44"/>
      <c r="AZ17" s="44"/>
      <c r="BA17" s="44"/>
      <c r="BB17" s="44"/>
      <c r="BC17" s="44"/>
      <c r="BD17" s="44"/>
      <c r="BE17" s="44"/>
      <c r="BF17" s="44"/>
    </row>
    <row r="18" spans="2:58" ht="18.75" customHeight="1" x14ac:dyDescent="0.4">
      <c r="B18" s="30"/>
      <c r="C18" s="2"/>
      <c r="D18" s="2"/>
      <c r="E18" s="2"/>
      <c r="F18" s="2"/>
      <c r="G18" s="2"/>
      <c r="H18" s="2"/>
      <c r="I18" s="2"/>
      <c r="J18" s="2"/>
      <c r="K18" s="2"/>
      <c r="L18" s="2"/>
      <c r="M18" s="2"/>
      <c r="N18" s="2"/>
      <c r="O18" s="2"/>
      <c r="P18" s="2"/>
      <c r="Q18" s="9"/>
      <c r="R18" s="16"/>
      <c r="S18" s="16"/>
      <c r="T18" s="38"/>
      <c r="U18" s="38"/>
      <c r="V18" s="38"/>
      <c r="W18" s="38"/>
      <c r="X18" s="38"/>
      <c r="Y18" s="38"/>
      <c r="Z18" s="38"/>
      <c r="AA18" s="44"/>
      <c r="AB18" s="44"/>
      <c r="AC18" s="44"/>
      <c r="AD18" s="44"/>
      <c r="AE18" s="44"/>
      <c r="AF18" s="44"/>
      <c r="AG18" s="44"/>
      <c r="AH18" s="44"/>
      <c r="AI18" s="44"/>
      <c r="AJ18" s="44"/>
      <c r="AK18" s="44">
        <v>2</v>
      </c>
      <c r="AL18" s="44">
        <v>0.85699999999999998</v>
      </c>
      <c r="AM18" s="44">
        <v>0.92300000000000004</v>
      </c>
      <c r="AN18" s="44">
        <v>0.93300000000000005</v>
      </c>
      <c r="AO18" s="44">
        <v>0.93899999999999995</v>
      </c>
      <c r="AP18" s="4">
        <v>2</v>
      </c>
      <c r="AQ18" s="4">
        <f t="shared" si="0"/>
        <v>-9.2999999999999972E-2</v>
      </c>
      <c r="AR18" s="4">
        <f t="shared" si="1"/>
        <v>-2.6999999999999913E-2</v>
      </c>
      <c r="AS18" s="4">
        <f t="shared" si="2"/>
        <v>-1.6999999999999904E-2</v>
      </c>
      <c r="AT18" s="4">
        <f t="shared" si="3"/>
        <v>-1.100000000000001E-2</v>
      </c>
      <c r="AU18" s="44"/>
      <c r="AV18" s="44"/>
      <c r="AW18" s="44"/>
      <c r="AX18" s="44"/>
      <c r="AY18" s="44"/>
      <c r="AZ18" s="44"/>
      <c r="BA18" s="44"/>
      <c r="BB18" s="44"/>
      <c r="BC18" s="44"/>
      <c r="BD18" s="44"/>
      <c r="BE18" s="44"/>
      <c r="BF18" s="44"/>
    </row>
    <row r="19" spans="2:58" ht="18.75" customHeight="1" x14ac:dyDescent="0.4">
      <c r="B19" s="30"/>
      <c r="C19" s="2"/>
      <c r="D19" s="2"/>
      <c r="E19" s="2"/>
      <c r="F19" s="129" t="s">
        <v>268</v>
      </c>
      <c r="G19" s="2"/>
      <c r="H19" s="149">
        <v>4</v>
      </c>
      <c r="I19" s="2"/>
      <c r="J19" s="2" t="s">
        <v>292</v>
      </c>
      <c r="K19" s="2"/>
      <c r="L19" s="2"/>
      <c r="M19" s="129" t="s">
        <v>256</v>
      </c>
      <c r="N19" s="2"/>
      <c r="O19" s="151">
        <v>1</v>
      </c>
      <c r="P19" s="2" t="s">
        <v>293</v>
      </c>
      <c r="Q19" s="9"/>
      <c r="R19" s="16"/>
      <c r="S19" s="16"/>
      <c r="T19" s="38"/>
      <c r="U19" s="38"/>
      <c r="V19" s="38"/>
      <c r="W19" s="38"/>
      <c r="X19" s="38"/>
      <c r="Y19" s="38"/>
      <c r="Z19" s="38"/>
      <c r="AA19" s="44"/>
      <c r="AB19" s="44"/>
      <c r="AC19" s="44"/>
      <c r="AD19" s="44"/>
      <c r="AE19" s="44"/>
      <c r="AF19" s="44"/>
      <c r="AG19" s="44"/>
      <c r="AH19" s="44"/>
      <c r="AI19" s="44"/>
      <c r="AJ19" s="44"/>
      <c r="AK19" s="44">
        <v>3</v>
      </c>
      <c r="AL19" s="44">
        <v>0.81</v>
      </c>
      <c r="AM19" s="44">
        <v>0.90900000000000003</v>
      </c>
      <c r="AN19" s="44">
        <v>0.92400000000000004</v>
      </c>
      <c r="AO19" s="44">
        <v>0.93300000000000005</v>
      </c>
      <c r="AP19" s="4">
        <v>3</v>
      </c>
      <c r="AQ19" s="4">
        <f t="shared" si="0"/>
        <v>-0.1399999999999999</v>
      </c>
      <c r="AR19" s="4">
        <f t="shared" si="1"/>
        <v>-4.0999999999999925E-2</v>
      </c>
      <c r="AS19" s="4">
        <f t="shared" si="2"/>
        <v>-2.5999999999999912E-2</v>
      </c>
      <c r="AT19" s="4">
        <f t="shared" si="3"/>
        <v>-1.6999999999999904E-2</v>
      </c>
      <c r="AU19" s="44"/>
      <c r="AV19" s="44"/>
      <c r="AW19" s="44"/>
      <c r="AX19" s="44"/>
      <c r="AY19" s="44"/>
      <c r="AZ19" s="44"/>
      <c r="BA19" s="44"/>
      <c r="BB19" s="44"/>
      <c r="BC19" s="44"/>
      <c r="BD19" s="44"/>
      <c r="BE19" s="44"/>
      <c r="BF19" s="44"/>
    </row>
    <row r="20" spans="2:58" ht="18.75" customHeight="1" x14ac:dyDescent="0.4">
      <c r="B20" s="30"/>
      <c r="C20" s="2"/>
      <c r="D20" s="2"/>
      <c r="E20" s="2"/>
      <c r="F20" s="129" t="s">
        <v>263</v>
      </c>
      <c r="G20" s="2"/>
      <c r="H20" s="149">
        <v>4</v>
      </c>
      <c r="I20" s="2"/>
      <c r="J20" s="2" t="s">
        <v>293</v>
      </c>
      <c r="K20" s="2"/>
      <c r="L20" s="2"/>
      <c r="M20" s="129" t="s">
        <v>551</v>
      </c>
      <c r="N20" s="2"/>
      <c r="O20" s="151">
        <v>1</v>
      </c>
      <c r="P20" s="2" t="s">
        <v>293</v>
      </c>
      <c r="Q20" s="9"/>
      <c r="R20" s="16"/>
      <c r="S20" s="16"/>
      <c r="T20" s="38"/>
      <c r="U20" s="38"/>
      <c r="V20" s="38"/>
      <c r="W20" s="38"/>
      <c r="X20" s="38"/>
      <c r="Y20" s="38"/>
      <c r="Z20" s="38"/>
      <c r="AA20" s="44"/>
      <c r="AB20" s="44"/>
      <c r="AC20" s="44"/>
      <c r="AD20" s="44"/>
      <c r="AE20" s="44"/>
      <c r="AF20" s="44"/>
      <c r="AG20" s="44"/>
      <c r="AH20" s="44"/>
      <c r="AI20" s="44"/>
      <c r="AJ20" s="44"/>
      <c r="AK20" s="44">
        <v>4</v>
      </c>
      <c r="AL20" s="44">
        <v>0.76300000000000001</v>
      </c>
      <c r="AM20" s="44">
        <v>0.89600000000000002</v>
      </c>
      <c r="AN20" s="44">
        <v>0.91500000000000004</v>
      </c>
      <c r="AO20" s="44">
        <v>0.92700000000000005</v>
      </c>
      <c r="AP20" s="4">
        <v>4</v>
      </c>
      <c r="AQ20" s="4">
        <f t="shared" si="0"/>
        <v>-0.18699999999999994</v>
      </c>
      <c r="AR20" s="4">
        <f t="shared" si="1"/>
        <v>-5.3999999999999937E-2</v>
      </c>
      <c r="AS20" s="4">
        <f t="shared" si="2"/>
        <v>-3.499999999999992E-2</v>
      </c>
      <c r="AT20" s="4">
        <f t="shared" si="3"/>
        <v>-2.2999999999999909E-2</v>
      </c>
      <c r="AU20" s="44"/>
      <c r="AV20" s="44"/>
      <c r="AW20" s="44"/>
      <c r="AX20" s="44"/>
      <c r="AY20" s="44"/>
      <c r="AZ20" s="44"/>
      <c r="BA20" s="44"/>
      <c r="BB20" s="44"/>
      <c r="BC20" s="44"/>
      <c r="BD20" s="44"/>
      <c r="BE20" s="44"/>
      <c r="BF20" s="44"/>
    </row>
    <row r="21" spans="2:58" ht="18.75" customHeight="1" x14ac:dyDescent="0.4">
      <c r="B21" s="30"/>
      <c r="C21" s="2"/>
      <c r="D21" s="2"/>
      <c r="E21" s="2"/>
      <c r="F21" s="129" t="s">
        <v>88</v>
      </c>
      <c r="G21" s="2"/>
      <c r="H21" s="150">
        <v>139</v>
      </c>
      <c r="I21" s="2"/>
      <c r="J21" s="2" t="s">
        <v>89</v>
      </c>
      <c r="K21" s="2"/>
      <c r="L21" s="2"/>
      <c r="M21" s="129" t="s">
        <v>552</v>
      </c>
      <c r="N21" s="2"/>
      <c r="O21" s="151">
        <v>1</v>
      </c>
      <c r="P21" s="2" t="s">
        <v>293</v>
      </c>
      <c r="Q21" s="9"/>
      <c r="R21" s="291" t="s">
        <v>553</v>
      </c>
      <c r="S21" s="291"/>
      <c r="T21" s="289"/>
      <c r="U21" s="38"/>
      <c r="V21" s="38"/>
      <c r="W21" s="38"/>
      <c r="X21" s="38"/>
      <c r="Y21" s="38"/>
      <c r="Z21" s="38"/>
      <c r="AA21" s="44"/>
      <c r="AB21" s="44"/>
      <c r="AC21" s="44"/>
      <c r="AD21" s="44"/>
      <c r="AE21" s="44"/>
      <c r="AF21" s="44"/>
      <c r="AG21" s="44"/>
      <c r="AH21" s="44"/>
      <c r="AI21" s="44"/>
      <c r="AJ21" s="44"/>
      <c r="AK21" s="44">
        <v>5</v>
      </c>
      <c r="AL21" s="44">
        <v>0.71699999999999997</v>
      </c>
      <c r="AM21" s="44">
        <v>0.88200000000000001</v>
      </c>
      <c r="AN21" s="44">
        <v>0.90600000000000003</v>
      </c>
      <c r="AO21" s="44">
        <v>0.92200000000000004</v>
      </c>
      <c r="AP21" s="4">
        <v>5</v>
      </c>
      <c r="AQ21" s="4">
        <f t="shared" si="0"/>
        <v>-0.23299999999999998</v>
      </c>
      <c r="AR21" s="4">
        <f t="shared" si="1"/>
        <v>-6.7999999999999949E-2</v>
      </c>
      <c r="AS21" s="4">
        <f t="shared" si="2"/>
        <v>-4.3999999999999928E-2</v>
      </c>
      <c r="AT21" s="4">
        <f t="shared" si="3"/>
        <v>-2.7999999999999914E-2</v>
      </c>
      <c r="AU21" s="44"/>
      <c r="AV21" s="44"/>
      <c r="AW21" s="44"/>
      <c r="AX21" s="44"/>
      <c r="AY21" s="44"/>
      <c r="AZ21" s="44"/>
      <c r="BA21" s="44"/>
      <c r="BB21" s="44"/>
      <c r="BC21" s="44"/>
      <c r="BD21" s="44"/>
      <c r="BE21" s="44"/>
      <c r="BF21" s="44"/>
    </row>
    <row r="22" spans="2:58" ht="18.75" customHeight="1" x14ac:dyDescent="0.4">
      <c r="B22" s="30"/>
      <c r="C22" s="2"/>
      <c r="D22" s="2"/>
      <c r="E22" s="2"/>
      <c r="F22" s="129" t="s">
        <v>50</v>
      </c>
      <c r="G22" s="2"/>
      <c r="H22" s="150">
        <f>Shab*2.5</f>
        <v>347.5</v>
      </c>
      <c r="I22" s="2"/>
      <c r="J22" s="2" t="s">
        <v>51</v>
      </c>
      <c r="K22" s="2"/>
      <c r="L22" s="2"/>
      <c r="M22" s="190" t="s">
        <v>262</v>
      </c>
      <c r="N22" s="2"/>
      <c r="O22" s="151">
        <v>1</v>
      </c>
      <c r="P22" s="2" t="s">
        <v>293</v>
      </c>
      <c r="Q22" s="9"/>
      <c r="R22" s="16"/>
      <c r="S22" s="16"/>
      <c r="T22" s="38"/>
      <c r="U22" s="38"/>
      <c r="V22" s="38"/>
      <c r="W22" s="38"/>
      <c r="X22" s="38"/>
      <c r="Y22" s="38"/>
      <c r="Z22" s="38"/>
      <c r="AA22" s="44"/>
      <c r="AB22" s="44"/>
      <c r="AC22" s="44"/>
      <c r="AD22" s="44"/>
      <c r="AE22" s="44"/>
      <c r="AF22" s="44"/>
      <c r="AG22" s="44"/>
      <c r="AH22" s="44"/>
      <c r="AI22" s="44"/>
      <c r="AJ22" s="44"/>
      <c r="AK22" s="44">
        <v>6</v>
      </c>
      <c r="AL22" s="44">
        <v>0.67</v>
      </c>
      <c r="AM22" s="44">
        <v>0.86899999999999999</v>
      </c>
      <c r="AN22" s="44">
        <v>0.89800000000000002</v>
      </c>
      <c r="AO22" s="44">
        <v>0.91600000000000004</v>
      </c>
      <c r="AP22" s="4">
        <v>6</v>
      </c>
      <c r="AQ22" s="4">
        <f t="shared" si="0"/>
        <v>-0.27999999999999992</v>
      </c>
      <c r="AR22" s="4">
        <f t="shared" si="1"/>
        <v>-8.0999999999999961E-2</v>
      </c>
      <c r="AS22" s="4">
        <f t="shared" si="2"/>
        <v>-5.1999999999999935E-2</v>
      </c>
      <c r="AT22" s="4">
        <f t="shared" si="3"/>
        <v>-3.3999999999999919E-2</v>
      </c>
      <c r="AU22" s="44"/>
      <c r="AV22" s="44"/>
      <c r="AW22" s="44"/>
      <c r="AX22" s="44"/>
      <c r="AY22" s="44"/>
      <c r="AZ22" s="44"/>
      <c r="BA22" s="44"/>
      <c r="BB22" s="44"/>
      <c r="BC22" s="44"/>
      <c r="BD22" s="44"/>
      <c r="BE22" s="44"/>
      <c r="BF22" s="44"/>
    </row>
    <row r="23" spans="2:58" ht="18.75" customHeight="1" x14ac:dyDescent="0.4">
      <c r="B23" s="30"/>
      <c r="C23" s="2"/>
      <c r="D23" s="2"/>
      <c r="E23" s="2"/>
      <c r="F23" s="2"/>
      <c r="G23" s="2"/>
      <c r="H23" s="2"/>
      <c r="I23" s="2"/>
      <c r="J23" s="2"/>
      <c r="K23" s="2"/>
      <c r="L23" s="2"/>
      <c r="M23" s="2"/>
      <c r="N23" s="281"/>
      <c r="O23" s="2"/>
      <c r="P23" s="2"/>
      <c r="Q23" s="9"/>
      <c r="R23" s="16"/>
      <c r="S23" s="16"/>
      <c r="T23" s="38"/>
      <c r="U23" s="38"/>
      <c r="V23" s="38"/>
      <c r="W23" s="38"/>
      <c r="X23" s="38"/>
      <c r="Y23" s="38"/>
      <c r="Z23" s="38"/>
      <c r="AA23" s="44"/>
      <c r="AB23" s="44"/>
      <c r="AC23" s="44"/>
      <c r="AD23" s="44"/>
      <c r="AE23" s="44"/>
      <c r="AF23" s="44"/>
      <c r="AG23" s="44"/>
      <c r="AH23" s="44"/>
      <c r="AI23" s="44"/>
      <c r="AJ23" s="44"/>
      <c r="AK23" s="44">
        <v>7</v>
      </c>
      <c r="AL23" s="44">
        <v>0.624</v>
      </c>
      <c r="AM23" s="44">
        <v>0.85499999999999998</v>
      </c>
      <c r="AN23" s="44">
        <v>0.88900000000000001</v>
      </c>
      <c r="AO23" s="44">
        <v>0.91</v>
      </c>
      <c r="AP23" s="4">
        <v>7</v>
      </c>
      <c r="AQ23" s="4">
        <f t="shared" si="0"/>
        <v>-0.32599999999999996</v>
      </c>
      <c r="AR23" s="4">
        <f t="shared" si="1"/>
        <v>-9.4999999999999973E-2</v>
      </c>
      <c r="AS23" s="4">
        <f t="shared" si="2"/>
        <v>-6.0999999999999943E-2</v>
      </c>
      <c r="AT23" s="4">
        <f t="shared" si="3"/>
        <v>-3.9999999999999925E-2</v>
      </c>
      <c r="AU23" s="44"/>
      <c r="AV23" s="44"/>
      <c r="AW23" s="44"/>
      <c r="AX23" s="44"/>
      <c r="AY23" s="44"/>
      <c r="AZ23" s="44"/>
      <c r="BA23" s="44"/>
      <c r="BB23" s="44"/>
      <c r="BC23" s="44"/>
      <c r="BD23" s="44"/>
      <c r="BE23" s="44"/>
      <c r="BF23" s="44"/>
    </row>
    <row r="24" spans="2:58" ht="18.75" customHeight="1" x14ac:dyDescent="0.4">
      <c r="B24" s="30"/>
      <c r="C24" s="2"/>
      <c r="D24" s="2"/>
      <c r="E24" s="2"/>
      <c r="F24" s="130" t="s">
        <v>597</v>
      </c>
      <c r="G24" s="2"/>
      <c r="H24" s="75" t="str">
        <f>CONCATENATE(P505," m3/h")</f>
        <v>144 m3/h</v>
      </c>
      <c r="I24" s="2"/>
      <c r="J24" s="448" t="s">
        <v>294</v>
      </c>
      <c r="K24" s="449"/>
      <c r="L24" s="449"/>
      <c r="M24" s="450"/>
      <c r="N24" s="2"/>
      <c r="O24" s="2"/>
      <c r="P24" s="2"/>
      <c r="Q24" s="9"/>
      <c r="R24" s="16"/>
      <c r="S24" s="16"/>
      <c r="T24" s="38"/>
      <c r="U24" s="38"/>
      <c r="V24" s="38"/>
      <c r="W24" s="38"/>
      <c r="X24" s="38"/>
      <c r="Y24" s="38"/>
      <c r="Z24" s="38"/>
      <c r="AA24" s="44"/>
      <c r="AB24" s="44"/>
      <c r="AC24" s="44"/>
      <c r="AD24" s="44"/>
      <c r="AE24" s="44"/>
      <c r="AF24" s="44"/>
      <c r="AG24" s="44"/>
      <c r="AH24" s="44"/>
      <c r="AI24" s="44"/>
      <c r="AJ24" s="44"/>
      <c r="AK24" s="44">
        <v>8</v>
      </c>
      <c r="AL24" s="44">
        <v>0.57699999999999996</v>
      </c>
      <c r="AM24" s="44">
        <v>0.84199999999999997</v>
      </c>
      <c r="AN24" s="44">
        <v>0.88</v>
      </c>
      <c r="AO24" s="44">
        <v>0.90500000000000003</v>
      </c>
      <c r="AP24" s="4">
        <v>8</v>
      </c>
      <c r="AQ24" s="4">
        <f t="shared" si="0"/>
        <v>-0.373</v>
      </c>
      <c r="AR24" s="4">
        <f t="shared" si="1"/>
        <v>-0.10799999999999998</v>
      </c>
      <c r="AS24" s="4">
        <f t="shared" si="2"/>
        <v>-6.9999999999999951E-2</v>
      </c>
      <c r="AT24" s="4">
        <f t="shared" si="3"/>
        <v>-4.4999999999999929E-2</v>
      </c>
      <c r="AU24" s="44"/>
      <c r="AV24" s="44"/>
      <c r="AW24" s="44"/>
      <c r="AX24" s="44"/>
      <c r="AY24" s="44"/>
      <c r="AZ24" s="44"/>
      <c r="BA24" s="44"/>
      <c r="BB24" s="44"/>
      <c r="BC24" s="44"/>
      <c r="BD24" s="44"/>
      <c r="BE24" s="44"/>
      <c r="BF24" s="44"/>
    </row>
    <row r="25" spans="2:58" ht="18.75" customHeight="1" x14ac:dyDescent="0.4">
      <c r="B25" s="30"/>
      <c r="C25" s="2"/>
      <c r="D25" s="2"/>
      <c r="E25" s="2"/>
      <c r="F25" s="130" t="s">
        <v>598</v>
      </c>
      <c r="G25" s="2"/>
      <c r="H25" s="75" t="str">
        <f>CONCATENATE(ROUND(P509,2)," vol/h")</f>
        <v>0,41 vol/h</v>
      </c>
      <c r="I25" s="2"/>
      <c r="J25" s="2"/>
      <c r="K25" s="2"/>
      <c r="L25" s="2"/>
      <c r="M25" s="2"/>
      <c r="N25" s="2"/>
      <c r="O25" s="2"/>
      <c r="P25" s="2"/>
      <c r="Q25" s="9"/>
      <c r="R25" s="16"/>
      <c r="S25" s="16"/>
      <c r="T25" s="38"/>
      <c r="U25" s="38"/>
      <c r="V25" s="38"/>
      <c r="W25" s="38"/>
      <c r="X25" s="38"/>
      <c r="Y25" s="38"/>
      <c r="Z25" s="38"/>
      <c r="AA25" s="44"/>
      <c r="AB25" s="44"/>
      <c r="AC25" s="44"/>
      <c r="AD25" s="44"/>
      <c r="AE25" s="44"/>
      <c r="AF25" s="44"/>
      <c r="AG25" s="44"/>
      <c r="AH25" s="44"/>
      <c r="AI25" s="44"/>
      <c r="AJ25" s="44"/>
      <c r="AK25" s="44"/>
      <c r="AL25" s="44"/>
      <c r="AM25" s="44"/>
      <c r="AN25" s="44"/>
      <c r="AO25" s="44"/>
      <c r="AP25" s="55"/>
      <c r="AQ25" s="55"/>
      <c r="AR25" s="55"/>
      <c r="AS25" s="55"/>
      <c r="AT25" s="55"/>
      <c r="AU25" s="44"/>
      <c r="AV25" s="44"/>
      <c r="AW25" s="44"/>
      <c r="AX25" s="44"/>
      <c r="AY25" s="44"/>
      <c r="AZ25" s="44"/>
      <c r="BA25" s="44"/>
      <c r="BB25" s="44"/>
      <c r="BC25" s="44"/>
      <c r="BD25" s="44"/>
      <c r="BE25" s="44"/>
      <c r="BF25" s="44"/>
    </row>
    <row r="26" spans="2:58" ht="18.75" customHeight="1" x14ac:dyDescent="0.4">
      <c r="B26" s="30"/>
      <c r="C26" s="2"/>
      <c r="D26" s="2"/>
      <c r="E26" s="2"/>
      <c r="F26" s="2"/>
      <c r="G26" s="2"/>
      <c r="H26" s="2"/>
      <c r="I26" s="2"/>
      <c r="J26" s="2"/>
      <c r="K26" s="2"/>
      <c r="L26" s="2"/>
      <c r="M26" s="2"/>
      <c r="N26" s="2"/>
      <c r="O26" s="2"/>
      <c r="P26" s="2"/>
      <c r="Q26" s="9"/>
      <c r="R26" s="16"/>
      <c r="S26" s="16"/>
      <c r="T26" s="38"/>
      <c r="U26" s="38"/>
      <c r="V26" s="38"/>
      <c r="W26" s="38"/>
      <c r="X26" s="38"/>
      <c r="Y26" s="38"/>
      <c r="Z26" s="38"/>
      <c r="AA26" s="44"/>
      <c r="AB26" s="44"/>
      <c r="AC26" s="44"/>
      <c r="AD26" s="44"/>
      <c r="AE26" s="44"/>
      <c r="AF26" s="44"/>
      <c r="AG26" s="44"/>
      <c r="AH26" s="44"/>
      <c r="AI26" s="44"/>
      <c r="AJ26" s="44"/>
      <c r="AK26" s="44"/>
      <c r="AL26" s="44"/>
      <c r="AM26" s="44"/>
      <c r="AN26" s="44"/>
      <c r="AO26" s="44"/>
      <c r="AP26" s="55"/>
      <c r="AQ26" s="55"/>
      <c r="AR26" s="55"/>
      <c r="AS26" s="55"/>
      <c r="AT26" s="55"/>
      <c r="AU26" s="44"/>
      <c r="AV26" s="44"/>
      <c r="AW26" s="44"/>
      <c r="AX26" s="44"/>
      <c r="AY26" s="44"/>
      <c r="AZ26" s="44"/>
      <c r="BA26" s="44"/>
      <c r="BB26" s="44"/>
      <c r="BC26" s="44"/>
      <c r="BD26" s="44"/>
      <c r="BE26" s="44"/>
      <c r="BF26" s="44"/>
    </row>
    <row r="27" spans="2:58" ht="18.75" customHeight="1" x14ac:dyDescent="0.4">
      <c r="B27" s="30"/>
      <c r="C27" s="2"/>
      <c r="D27" s="2"/>
      <c r="E27" s="2"/>
      <c r="F27" s="128" t="s">
        <v>599</v>
      </c>
      <c r="G27" s="2"/>
      <c r="H27" s="397" t="s">
        <v>22</v>
      </c>
      <c r="I27" s="398"/>
      <c r="J27" s="399"/>
      <c r="K27" s="181"/>
      <c r="L27" s="2"/>
      <c r="M27" s="318" t="s">
        <v>173</v>
      </c>
      <c r="N27" s="2"/>
      <c r="O27" s="150"/>
      <c r="P27" s="2"/>
      <c r="Q27" s="9"/>
      <c r="R27" s="16"/>
      <c r="S27" s="16"/>
      <c r="T27" s="38"/>
      <c r="U27" s="38"/>
      <c r="V27" s="38"/>
      <c r="W27" s="38"/>
      <c r="X27" s="38"/>
      <c r="Y27" s="38"/>
      <c r="Z27" s="38"/>
      <c r="AA27" s="44"/>
      <c r="AB27" s="44"/>
      <c r="AC27" s="44"/>
      <c r="AD27" s="44"/>
      <c r="AE27" s="44"/>
      <c r="AF27" s="44"/>
      <c r="AG27" s="44"/>
      <c r="AH27" s="44"/>
      <c r="AI27" s="44"/>
      <c r="AJ27" s="44"/>
      <c r="AK27" s="44"/>
      <c r="AL27" s="44"/>
      <c r="AM27" s="44"/>
      <c r="AN27" s="44"/>
      <c r="AO27" s="44"/>
      <c r="AP27" s="55"/>
      <c r="AQ27" s="55"/>
      <c r="AR27" s="55"/>
      <c r="AS27" s="55"/>
      <c r="AT27" s="55"/>
      <c r="AU27" s="44"/>
      <c r="AV27" s="44"/>
      <c r="AW27" s="44"/>
      <c r="AX27" s="44"/>
      <c r="AY27" s="44"/>
      <c r="AZ27" s="44"/>
      <c r="BA27" s="44"/>
      <c r="BB27" s="44"/>
      <c r="BC27" s="44"/>
      <c r="BD27" s="44"/>
      <c r="BE27" s="44"/>
      <c r="BF27" s="44"/>
    </row>
    <row r="28" spans="2:58" ht="18.75" customHeight="1" x14ac:dyDescent="0.4">
      <c r="B28" s="30"/>
      <c r="C28" s="2"/>
      <c r="D28" s="2"/>
      <c r="E28" s="2"/>
      <c r="F28" s="2"/>
      <c r="G28" s="2"/>
      <c r="H28" s="2"/>
      <c r="I28" s="2"/>
      <c r="J28" s="2"/>
      <c r="K28" s="2"/>
      <c r="L28" s="2"/>
      <c r="M28" s="2"/>
      <c r="N28" s="2"/>
      <c r="O28" s="280" t="str">
        <f>CONCATENATE("DJU de ",Choix_meteo," = ",dju_selection)</f>
        <v>DJU de Orléans = 2532</v>
      </c>
      <c r="P28" s="2"/>
      <c r="Q28" s="9"/>
      <c r="R28" s="16"/>
      <c r="S28" s="16"/>
      <c r="T28" s="38"/>
      <c r="U28" s="38"/>
      <c r="V28" s="38"/>
      <c r="W28" s="38"/>
      <c r="X28" s="38"/>
      <c r="Y28" s="38"/>
      <c r="Z28" s="38"/>
      <c r="AA28" s="44"/>
      <c r="AB28" s="44"/>
      <c r="AC28" s="44"/>
      <c r="AD28" s="44"/>
      <c r="AE28" s="44"/>
      <c r="AF28" s="44"/>
      <c r="AG28" s="44"/>
      <c r="AH28" s="44"/>
      <c r="AI28" s="44"/>
      <c r="AJ28" s="44"/>
      <c r="AK28" s="44"/>
      <c r="AL28" s="44"/>
      <c r="AM28" s="44"/>
      <c r="AN28" s="44"/>
      <c r="AO28" s="44"/>
      <c r="AP28" s="55"/>
      <c r="AQ28" s="55"/>
      <c r="AR28" s="55"/>
      <c r="AS28" s="55"/>
      <c r="AT28" s="55"/>
      <c r="AU28" s="44"/>
      <c r="AV28" s="44"/>
      <c r="AW28" s="44"/>
      <c r="AX28" s="44"/>
      <c r="AY28" s="44"/>
      <c r="AZ28" s="44"/>
      <c r="BA28" s="44"/>
      <c r="BB28" s="44"/>
      <c r="BC28" s="44"/>
      <c r="BD28" s="44"/>
      <c r="BE28" s="44"/>
      <c r="BF28" s="44"/>
    </row>
    <row r="29" spans="2:58" ht="18.75" customHeight="1" x14ac:dyDescent="0.4">
      <c r="B29" s="30"/>
      <c r="C29" s="2"/>
      <c r="D29" s="2"/>
      <c r="E29" s="2"/>
      <c r="F29" s="128" t="s">
        <v>600</v>
      </c>
      <c r="G29" s="2"/>
      <c r="H29" s="397" t="s">
        <v>71</v>
      </c>
      <c r="I29" s="398"/>
      <c r="J29" s="399"/>
      <c r="K29" s="2"/>
      <c r="L29" s="2"/>
      <c r="M29" s="2"/>
      <c r="N29" s="2"/>
      <c r="O29" s="2"/>
      <c r="P29" s="2"/>
      <c r="Q29" s="9"/>
      <c r="R29" s="16"/>
      <c r="S29" s="16"/>
      <c r="T29" s="38"/>
      <c r="U29" s="38"/>
      <c r="V29" s="38"/>
      <c r="W29" s="38"/>
      <c r="X29" s="38"/>
      <c r="Y29" s="38"/>
      <c r="Z29" s="38"/>
      <c r="AA29" s="44"/>
      <c r="AB29" s="44"/>
      <c r="AC29" s="44"/>
      <c r="AD29" s="44"/>
      <c r="AE29" s="44"/>
      <c r="AF29" s="44"/>
      <c r="AG29" s="44"/>
      <c r="AH29" s="44"/>
      <c r="AI29" s="44"/>
      <c r="AJ29" s="44"/>
      <c r="AK29" s="55"/>
      <c r="AL29" s="55"/>
      <c r="AM29" s="55"/>
      <c r="AN29" s="55"/>
      <c r="AO29" s="55"/>
      <c r="AP29" s="55"/>
      <c r="AQ29" s="55"/>
      <c r="AR29" s="55"/>
      <c r="AS29" s="55"/>
      <c r="AT29" s="55"/>
      <c r="AU29" s="44"/>
      <c r="AV29" s="44"/>
      <c r="AW29" s="44"/>
      <c r="AX29" s="44"/>
      <c r="AY29" s="44"/>
      <c r="AZ29" s="44"/>
      <c r="BA29" s="44"/>
      <c r="BB29" s="44"/>
      <c r="BC29" s="44"/>
      <c r="BD29" s="44"/>
      <c r="BE29" s="44"/>
      <c r="BF29" s="44"/>
    </row>
    <row r="30" spans="2:58" ht="18.75" customHeight="1" x14ac:dyDescent="0.4">
      <c r="B30" s="30"/>
      <c r="C30" s="2"/>
      <c r="D30" s="2"/>
      <c r="E30" s="2"/>
      <c r="F30" s="2"/>
      <c r="G30" s="2"/>
      <c r="H30" s="2"/>
      <c r="I30" s="2"/>
      <c r="J30" s="2"/>
      <c r="K30" s="2"/>
      <c r="L30" s="2"/>
      <c r="M30" s="2"/>
      <c r="N30" s="2"/>
      <c r="O30" s="2"/>
      <c r="P30" s="2"/>
      <c r="Q30" s="9"/>
      <c r="R30" s="16"/>
      <c r="S30" s="16"/>
      <c r="T30" s="38"/>
      <c r="U30" s="38"/>
      <c r="V30" s="38"/>
      <c r="W30" s="38"/>
      <c r="X30" s="38"/>
      <c r="Y30" s="38"/>
      <c r="Z30" s="38"/>
      <c r="AA30" s="44"/>
      <c r="AB30" s="44"/>
      <c r="AC30" s="44"/>
      <c r="AD30" s="44"/>
      <c r="AE30" s="44"/>
      <c r="AF30" s="44"/>
      <c r="AG30" s="44"/>
      <c r="AH30" s="44"/>
      <c r="AI30" s="44"/>
      <c r="AJ30" s="44"/>
      <c r="AK30" s="55"/>
      <c r="AL30" s="55"/>
      <c r="AM30" s="55"/>
      <c r="AN30" s="55"/>
      <c r="AO30" s="55"/>
      <c r="AP30" s="55"/>
      <c r="AQ30" s="55"/>
      <c r="AR30" s="55"/>
      <c r="AS30" s="55"/>
      <c r="AT30" s="55"/>
      <c r="AU30" s="44"/>
      <c r="AV30" s="44"/>
      <c r="AW30" s="44"/>
      <c r="AX30" s="44"/>
      <c r="AY30" s="44"/>
      <c r="AZ30" s="44"/>
      <c r="BA30" s="44"/>
      <c r="BB30" s="44"/>
      <c r="BC30" s="44"/>
      <c r="BD30" s="44"/>
      <c r="BE30" s="44"/>
      <c r="BF30" s="44"/>
    </row>
    <row r="31" spans="2:58" ht="18.75" customHeight="1" x14ac:dyDescent="0.4">
      <c r="B31" s="30"/>
      <c r="C31" s="2"/>
      <c r="D31" s="2"/>
      <c r="E31" s="2"/>
      <c r="F31" s="128" t="s">
        <v>602</v>
      </c>
      <c r="G31" s="2"/>
      <c r="H31" s="397" t="s">
        <v>74</v>
      </c>
      <c r="I31" s="398"/>
      <c r="J31" s="399"/>
      <c r="K31" s="2"/>
      <c r="L31" s="2"/>
      <c r="M31" s="2"/>
      <c r="N31" s="2"/>
      <c r="O31" s="2"/>
      <c r="P31" s="2"/>
      <c r="Q31" s="9"/>
      <c r="R31" s="16"/>
      <c r="S31" s="16"/>
      <c r="T31" s="38"/>
      <c r="U31" s="38"/>
      <c r="V31" s="38"/>
      <c r="W31" s="38"/>
      <c r="X31" s="38"/>
      <c r="Y31" s="38"/>
      <c r="Z31" s="38"/>
      <c r="AA31" s="44"/>
      <c r="AB31" s="44"/>
      <c r="AC31" s="44"/>
      <c r="AD31" s="44"/>
      <c r="AE31" s="44"/>
      <c r="AF31" s="44"/>
      <c r="AG31" s="44"/>
      <c r="AH31" s="44"/>
      <c r="AI31" s="44"/>
      <c r="AJ31" s="44"/>
      <c r="AK31" s="55"/>
      <c r="AL31" s="55"/>
      <c r="AM31" s="55"/>
      <c r="AN31" s="55"/>
      <c r="AO31" s="55"/>
      <c r="AP31" s="55"/>
      <c r="AQ31" s="55"/>
      <c r="AR31" s="55"/>
      <c r="AS31" s="55"/>
      <c r="AT31" s="55"/>
      <c r="AU31" s="44"/>
      <c r="AV31" s="44"/>
      <c r="AW31" s="44"/>
      <c r="AX31" s="44"/>
      <c r="AY31" s="44"/>
      <c r="AZ31" s="44"/>
      <c r="BA31" s="44"/>
      <c r="BB31" s="44"/>
      <c r="BC31" s="44"/>
      <c r="BD31" s="44"/>
      <c r="BE31" s="44"/>
      <c r="BF31" s="44"/>
    </row>
    <row r="32" spans="2:58" ht="18.75" customHeight="1" x14ac:dyDescent="0.4">
      <c r="B32" s="30"/>
      <c r="C32" s="2"/>
      <c r="D32" s="2"/>
      <c r="E32" s="2"/>
      <c r="F32" s="2"/>
      <c r="G32" s="2"/>
      <c r="H32" s="2"/>
      <c r="I32" s="2"/>
      <c r="J32" s="2"/>
      <c r="K32" s="2"/>
      <c r="L32" s="2"/>
      <c r="M32" s="2"/>
      <c r="N32" s="2"/>
      <c r="O32" s="2"/>
      <c r="P32" s="2"/>
      <c r="Q32" s="9"/>
      <c r="R32" s="16"/>
      <c r="S32" s="16"/>
      <c r="T32" s="38"/>
      <c r="U32" s="38"/>
      <c r="V32" s="38"/>
      <c r="W32" s="38"/>
      <c r="X32" s="38"/>
      <c r="Y32" s="38"/>
      <c r="Z32" s="38"/>
      <c r="AA32" s="44"/>
      <c r="AB32" s="44"/>
      <c r="AC32" s="44"/>
      <c r="AD32" s="44"/>
      <c r="AE32" s="44"/>
      <c r="AF32" s="44"/>
      <c r="AG32" s="44"/>
      <c r="AH32" s="44"/>
      <c r="AI32" s="44"/>
      <c r="AJ32" s="44"/>
      <c r="AP32" s="44"/>
      <c r="AQ32" s="44"/>
      <c r="AR32" s="44"/>
      <c r="AS32" s="44"/>
      <c r="AT32" s="44"/>
      <c r="AU32" s="44"/>
      <c r="AV32" s="44"/>
      <c r="AW32" s="44"/>
      <c r="AX32" s="44"/>
      <c r="AY32" s="44"/>
      <c r="AZ32" s="44"/>
      <c r="BA32" s="44"/>
      <c r="BB32" s="44"/>
      <c r="BC32" s="44"/>
      <c r="BD32" s="44"/>
      <c r="BE32" s="44"/>
      <c r="BF32" s="44"/>
    </row>
    <row r="33" spans="2:58" ht="18.75" customHeight="1" x14ac:dyDescent="0.4">
      <c r="B33" s="30"/>
      <c r="C33" s="2"/>
      <c r="D33" s="2"/>
      <c r="E33" s="2"/>
      <c r="F33" s="128" t="s">
        <v>603</v>
      </c>
      <c r="G33" s="2"/>
      <c r="H33" s="397" t="s">
        <v>152</v>
      </c>
      <c r="I33" s="398"/>
      <c r="J33" s="399"/>
      <c r="K33" s="2"/>
      <c r="L33" s="2"/>
      <c r="M33" s="2"/>
      <c r="N33" s="2"/>
      <c r="O33" s="2"/>
      <c r="P33" s="2"/>
      <c r="Q33" s="9"/>
      <c r="R33" s="16"/>
      <c r="S33" s="16"/>
      <c r="T33" s="38"/>
      <c r="U33" s="38"/>
      <c r="V33" s="38"/>
      <c r="W33" s="38"/>
      <c r="X33" s="38"/>
      <c r="Y33" s="38"/>
      <c r="Z33" s="38"/>
      <c r="AA33" s="44"/>
      <c r="AB33" s="44"/>
      <c r="AC33" s="44"/>
      <c r="AD33" s="44"/>
      <c r="AE33" s="44"/>
      <c r="AF33" s="44"/>
      <c r="AG33" s="44"/>
      <c r="AH33" s="44"/>
      <c r="AI33" s="44"/>
      <c r="AJ33" s="44"/>
      <c r="AP33" s="44"/>
      <c r="AQ33" s="44"/>
      <c r="AR33" s="44"/>
      <c r="AS33" s="44"/>
      <c r="AT33" s="44"/>
      <c r="AU33" s="44"/>
      <c r="AV33" s="44"/>
      <c r="AW33" s="44"/>
      <c r="AX33" s="44"/>
      <c r="AY33" s="44"/>
      <c r="AZ33" s="44"/>
      <c r="BA33" s="44"/>
      <c r="BB33" s="44"/>
      <c r="BC33" s="44"/>
      <c r="BD33" s="44"/>
      <c r="BE33" s="44"/>
      <c r="BF33" s="44"/>
    </row>
    <row r="34" spans="2:58" ht="18.75" customHeight="1" x14ac:dyDescent="0.4">
      <c r="B34" s="30"/>
      <c r="C34" s="2"/>
      <c r="D34" s="2"/>
      <c r="E34" s="2"/>
      <c r="F34" s="2"/>
      <c r="G34" s="2"/>
      <c r="H34" s="2"/>
      <c r="I34" s="2"/>
      <c r="J34" s="2"/>
      <c r="K34" s="2"/>
      <c r="L34" s="2"/>
      <c r="M34" s="2"/>
      <c r="N34" s="2"/>
      <c r="O34" s="2"/>
      <c r="P34" s="2"/>
      <c r="Q34" s="9"/>
      <c r="R34" s="16"/>
      <c r="S34" s="16"/>
      <c r="T34" s="38"/>
      <c r="U34" s="38"/>
      <c r="V34" s="38"/>
      <c r="W34" s="38"/>
      <c r="X34" s="38"/>
      <c r="Y34" s="38"/>
      <c r="Z34" s="38"/>
      <c r="AA34" s="44"/>
      <c r="AB34" s="44"/>
      <c r="AC34" s="44"/>
      <c r="AD34" s="44"/>
      <c r="AE34" s="44"/>
      <c r="AF34" s="44"/>
      <c r="AG34" s="44"/>
      <c r="AH34" s="44"/>
      <c r="AI34" s="44"/>
      <c r="AJ34" s="44"/>
      <c r="AP34" s="44"/>
      <c r="AQ34" s="44"/>
      <c r="AR34" s="44"/>
      <c r="AS34" s="44"/>
      <c r="AT34" s="44"/>
      <c r="AU34" s="44"/>
      <c r="AV34" s="44"/>
      <c r="AW34" s="44"/>
      <c r="AX34" s="44"/>
      <c r="AY34" s="44"/>
      <c r="AZ34" s="44"/>
      <c r="BA34" s="44"/>
      <c r="BB34" s="44"/>
      <c r="BC34" s="44"/>
      <c r="BD34" s="44"/>
      <c r="BE34" s="44"/>
      <c r="BF34" s="44"/>
    </row>
    <row r="35" spans="2:58" ht="18.75" customHeight="1" x14ac:dyDescent="0.4">
      <c r="B35" s="30"/>
      <c r="C35" s="2"/>
      <c r="D35" s="2"/>
      <c r="E35" s="2"/>
      <c r="F35" s="128" t="s">
        <v>605</v>
      </c>
      <c r="G35" s="2"/>
      <c r="H35" s="150">
        <v>0.14000000000000001</v>
      </c>
      <c r="I35" s="2"/>
      <c r="J35" s="2" t="s">
        <v>28</v>
      </c>
      <c r="K35" s="2"/>
      <c r="L35" s="2"/>
      <c r="M35" s="2"/>
      <c r="N35" s="2"/>
      <c r="O35" s="2"/>
      <c r="P35" s="2"/>
      <c r="Q35" s="9"/>
      <c r="R35" s="16">
        <f>IF(O38="",P37,O38)</f>
        <v>3</v>
      </c>
      <c r="T35" s="38"/>
      <c r="U35" s="38"/>
      <c r="V35" s="38"/>
      <c r="W35" s="38"/>
      <c r="X35" s="38"/>
      <c r="Y35" s="38"/>
      <c r="Z35" s="38"/>
      <c r="AA35" s="44"/>
      <c r="AB35" s="44"/>
      <c r="AC35" s="44"/>
      <c r="AD35" s="44"/>
      <c r="AE35" s="44"/>
      <c r="AF35" s="44"/>
      <c r="AG35" s="44"/>
      <c r="AH35" s="44"/>
      <c r="AI35" s="44"/>
      <c r="AJ35" s="44"/>
      <c r="AP35" s="44"/>
      <c r="AQ35" s="44"/>
      <c r="AR35" s="44"/>
      <c r="AS35" s="44"/>
      <c r="AT35" s="44"/>
      <c r="AU35" s="44"/>
      <c r="AV35" s="44"/>
      <c r="AW35" s="44"/>
      <c r="AX35" s="44"/>
      <c r="AY35" s="44"/>
      <c r="AZ35" s="44"/>
      <c r="BA35" s="44"/>
      <c r="BB35" s="44"/>
      <c r="BC35" s="44"/>
      <c r="BD35" s="44"/>
      <c r="BE35" s="44"/>
      <c r="BF35" s="44"/>
    </row>
    <row r="36" spans="2:58" ht="18.75" customHeight="1" x14ac:dyDescent="0.25">
      <c r="B36" s="8"/>
      <c r="C36" s="2"/>
      <c r="D36" s="2"/>
      <c r="E36" s="2"/>
      <c r="F36" s="128" t="s">
        <v>604</v>
      </c>
      <c r="G36" s="2"/>
      <c r="H36" s="150">
        <v>0.05</v>
      </c>
      <c r="I36" s="2"/>
      <c r="J36" s="2" t="s">
        <v>28</v>
      </c>
      <c r="K36" s="2"/>
      <c r="L36" s="2"/>
      <c r="M36" s="2"/>
      <c r="N36" s="2"/>
      <c r="O36" s="2"/>
      <c r="P36" s="2"/>
      <c r="Q36" s="9"/>
      <c r="R36" s="16"/>
      <c r="S36" s="16"/>
      <c r="T36" s="38"/>
      <c r="U36" s="38"/>
      <c r="V36" s="38"/>
      <c r="W36" s="38"/>
      <c r="X36" s="38"/>
      <c r="Y36" s="38"/>
      <c r="Z36" s="38"/>
      <c r="AA36" s="44"/>
      <c r="AB36" s="44"/>
      <c r="AC36" s="44"/>
      <c r="AD36" s="44"/>
      <c r="AE36" s="44"/>
      <c r="AF36" s="44"/>
      <c r="AG36" s="44"/>
      <c r="AH36" s="44"/>
      <c r="AI36" s="44"/>
      <c r="AJ36" s="44"/>
      <c r="AP36" s="44"/>
      <c r="AQ36" s="44"/>
      <c r="AR36" s="44"/>
      <c r="AS36" s="44"/>
      <c r="AT36" s="44"/>
      <c r="AU36" s="44"/>
      <c r="AV36" s="44"/>
      <c r="AW36" s="44"/>
      <c r="AX36" s="44"/>
      <c r="AY36" s="44"/>
      <c r="AZ36" s="44"/>
      <c r="BA36" s="44"/>
      <c r="BB36" s="44"/>
      <c r="BC36" s="44"/>
      <c r="BD36" s="44"/>
      <c r="BE36" s="44"/>
      <c r="BF36" s="44"/>
    </row>
    <row r="37" spans="2:58" ht="18.75" customHeight="1" x14ac:dyDescent="0.25">
      <c r="B37" s="8"/>
      <c r="C37" s="2"/>
      <c r="D37" s="2"/>
      <c r="E37" s="2"/>
      <c r="F37" s="2"/>
      <c r="G37" s="2"/>
      <c r="H37" s="2"/>
      <c r="I37" s="2"/>
      <c r="J37" s="2"/>
      <c r="K37" s="2"/>
      <c r="L37" s="2"/>
      <c r="M37" s="2"/>
      <c r="N37" s="2"/>
      <c r="O37" s="2"/>
      <c r="P37" s="16">
        <f>IF(ISNA(VLOOKUP(Choix_niveaun50,Zone_niveaun50,1,0)),"",VLOOKUP(Choix_niveaun50,Zone_niveaun50,2,0))</f>
        <v>3</v>
      </c>
      <c r="Q37" s="9"/>
      <c r="R37" s="16"/>
      <c r="S37" s="16">
        <f>IF(ISNA(VLOOKUP(Choix_caisson,Selection_Zone,1,0)),"",VLOOKUP(Choix_caisson,Selection_Zone,3,0))</f>
        <v>78</v>
      </c>
      <c r="T37" s="38"/>
      <c r="U37" s="38"/>
      <c r="V37" s="38"/>
      <c r="W37" s="38"/>
      <c r="X37" s="38"/>
      <c r="Y37" s="38"/>
      <c r="Z37" s="38"/>
      <c r="AA37" s="44"/>
      <c r="AB37" s="44"/>
      <c r="AC37" s="44"/>
      <c r="AD37" s="44"/>
      <c r="AE37" s="44"/>
      <c r="AF37" s="44"/>
      <c r="AG37" s="44"/>
      <c r="AH37" s="44"/>
      <c r="AI37" s="44"/>
      <c r="AJ37" s="44"/>
      <c r="AP37" s="44"/>
      <c r="AQ37" s="44"/>
      <c r="AR37" s="44"/>
      <c r="AS37" s="44"/>
      <c r="AT37" s="44"/>
      <c r="AU37" s="44"/>
      <c r="AV37" s="44"/>
      <c r="AW37" s="44"/>
      <c r="AX37" s="44"/>
      <c r="AY37" s="44"/>
      <c r="AZ37" s="44"/>
      <c r="BA37" s="44"/>
      <c r="BB37" s="44"/>
      <c r="BC37" s="44"/>
      <c r="BD37" s="44"/>
      <c r="BE37" s="44"/>
      <c r="BF37" s="44"/>
    </row>
    <row r="38" spans="2:58" ht="18.75" customHeight="1" x14ac:dyDescent="0.25">
      <c r="B38" s="8"/>
      <c r="C38" s="2"/>
      <c r="D38" s="2"/>
      <c r="E38" s="2"/>
      <c r="F38" s="130" t="s">
        <v>295</v>
      </c>
      <c r="G38" s="2"/>
      <c r="H38" s="397" t="s">
        <v>298</v>
      </c>
      <c r="I38" s="398"/>
      <c r="J38" s="399"/>
      <c r="K38" s="2"/>
      <c r="L38" s="2"/>
      <c r="M38" s="318" t="s">
        <v>304</v>
      </c>
      <c r="N38" s="2"/>
      <c r="O38" s="150"/>
      <c r="P38" s="2" t="s">
        <v>70</v>
      </c>
      <c r="Q38" s="9"/>
      <c r="R38" s="16"/>
      <c r="S38" s="16"/>
      <c r="T38" s="38"/>
      <c r="U38" s="38"/>
      <c r="V38" s="38"/>
      <c r="W38" s="38"/>
      <c r="X38" s="38"/>
      <c r="Y38" s="38"/>
      <c r="Z38" s="38"/>
      <c r="AA38" s="44"/>
      <c r="AB38" s="44"/>
      <c r="AC38" s="44"/>
      <c r="AD38" s="44"/>
      <c r="AE38" s="44"/>
      <c r="AF38" s="44"/>
      <c r="AG38" s="44"/>
      <c r="AH38" s="44"/>
      <c r="AI38" s="44"/>
      <c r="AJ38" s="44"/>
      <c r="AP38" s="44"/>
      <c r="AQ38" s="44"/>
      <c r="AR38" s="44"/>
      <c r="AS38" s="44"/>
      <c r="AT38" s="44"/>
      <c r="AU38" s="44"/>
      <c r="AV38" s="44"/>
      <c r="AW38" s="44"/>
      <c r="AX38" s="44"/>
      <c r="AY38" s="44"/>
      <c r="AZ38" s="44"/>
      <c r="BA38" s="44"/>
      <c r="BB38" s="44"/>
      <c r="BC38" s="44"/>
      <c r="BD38" s="44"/>
      <c r="BE38" s="44"/>
      <c r="BF38" s="44"/>
    </row>
    <row r="39" spans="2:58" ht="18.75" customHeight="1" x14ac:dyDescent="0.25">
      <c r="B39" s="8"/>
      <c r="C39" s="2"/>
      <c r="D39" s="2"/>
      <c r="E39" s="2"/>
      <c r="F39" s="2"/>
      <c r="G39" s="2"/>
      <c r="H39" s="2"/>
      <c r="I39" s="2"/>
      <c r="J39" s="2"/>
      <c r="K39" s="2"/>
      <c r="L39" s="2"/>
      <c r="M39" s="2"/>
      <c r="N39" s="2"/>
      <c r="O39" s="280" t="str">
        <f>CONCATENATE(Valeur_n50," vol/h sous 50 Pa")</f>
        <v>3 vol/h sous 50 Pa</v>
      </c>
      <c r="P39" s="2"/>
      <c r="Q39" s="9"/>
      <c r="R39" s="16"/>
      <c r="S39" s="16"/>
      <c r="T39" s="38"/>
      <c r="U39" s="38"/>
      <c r="V39" s="38"/>
      <c r="W39" s="38"/>
      <c r="X39" s="38"/>
      <c r="Y39" s="38"/>
      <c r="Z39" s="38"/>
      <c r="AA39" s="44"/>
      <c r="AB39" s="44"/>
      <c r="AC39" s="44"/>
      <c r="AD39" s="44"/>
      <c r="AE39" s="44"/>
      <c r="AF39" s="44"/>
      <c r="AG39" s="44"/>
      <c r="AH39" s="44"/>
      <c r="AI39" s="44"/>
      <c r="AJ39" s="44"/>
      <c r="AP39" s="44"/>
      <c r="AQ39" s="44"/>
      <c r="AR39" s="44"/>
      <c r="AS39" s="44"/>
      <c r="AT39" s="44"/>
      <c r="AU39" s="44"/>
      <c r="AV39" s="44"/>
      <c r="AW39" s="44"/>
      <c r="AX39" s="44"/>
      <c r="AY39" s="44"/>
      <c r="AZ39" s="44"/>
      <c r="BA39" s="44"/>
      <c r="BB39" s="44"/>
      <c r="BC39" s="44"/>
      <c r="BD39" s="44"/>
      <c r="BE39" s="44"/>
      <c r="BF39" s="44"/>
    </row>
    <row r="40" spans="2:58" ht="18.75" customHeight="1" x14ac:dyDescent="0.25">
      <c r="B40" s="8"/>
      <c r="C40" s="2"/>
      <c r="D40" s="2"/>
      <c r="E40" s="2"/>
      <c r="F40" s="2"/>
      <c r="G40" s="2"/>
      <c r="H40" s="460" t="s">
        <v>607</v>
      </c>
      <c r="I40" s="460"/>
      <c r="J40" s="460"/>
      <c r="K40" s="460"/>
      <c r="L40" s="2"/>
      <c r="M40" s="2"/>
      <c r="N40" s="2"/>
      <c r="O40" s="2"/>
      <c r="P40" s="2"/>
      <c r="Q40" s="9"/>
      <c r="R40" s="16"/>
      <c r="S40" s="16"/>
      <c r="T40" s="38"/>
      <c r="U40" s="38"/>
      <c r="V40" s="38"/>
      <c r="W40" s="38"/>
      <c r="X40" s="38"/>
      <c r="Y40" s="38"/>
      <c r="Z40" s="38"/>
      <c r="AA40" s="44"/>
      <c r="AB40" s="44"/>
      <c r="AC40" s="44"/>
      <c r="AD40" s="44"/>
      <c r="AE40" s="44"/>
      <c r="AF40" s="44"/>
      <c r="AG40" s="44"/>
      <c r="AH40" s="44"/>
      <c r="AI40" s="44"/>
      <c r="AJ40" s="44"/>
      <c r="AP40" s="44"/>
      <c r="AQ40" s="44"/>
      <c r="AR40" s="44"/>
      <c r="AS40" s="44"/>
      <c r="AT40" s="44"/>
      <c r="AU40" s="44"/>
      <c r="AV40" s="44"/>
      <c r="AW40" s="44"/>
      <c r="AX40" s="44"/>
      <c r="AY40" s="44"/>
      <c r="AZ40" s="44"/>
      <c r="BA40" s="44"/>
      <c r="BB40" s="44"/>
      <c r="BC40" s="44"/>
      <c r="BD40" s="44"/>
      <c r="BE40" s="44"/>
      <c r="BF40" s="44"/>
    </row>
    <row r="41" spans="2:58" x14ac:dyDescent="0.25">
      <c r="B41" s="8"/>
      <c r="C41" s="2"/>
      <c r="D41" s="2"/>
      <c r="E41" s="2"/>
      <c r="F41" s="2"/>
      <c r="G41" s="88"/>
      <c r="H41" s="461"/>
      <c r="I41" s="461"/>
      <c r="J41" s="461"/>
      <c r="K41" s="461"/>
      <c r="L41" s="2"/>
      <c r="M41" s="2"/>
      <c r="N41" s="2"/>
      <c r="O41" s="2"/>
      <c r="P41" s="2"/>
      <c r="Q41" s="9"/>
      <c r="R41" s="16"/>
      <c r="S41" s="16">
        <f>IF(ISNA(VLOOKUP(Choix_caisson,Selection_Zone,1,0)),"",VLOOKUP(Choix_caisson,Selection_Zone,4,0))</f>
        <v>210</v>
      </c>
      <c r="T41" s="38"/>
      <c r="U41" s="38"/>
      <c r="V41" s="38"/>
      <c r="W41" s="38"/>
      <c r="X41" s="38"/>
      <c r="Y41" s="38"/>
      <c r="Z41" s="38"/>
      <c r="AA41" s="44"/>
      <c r="AB41" s="44"/>
      <c r="AC41" s="44"/>
      <c r="AD41" s="44"/>
      <c r="AE41" s="44"/>
      <c r="AF41" s="44"/>
      <c r="AG41" s="44"/>
      <c r="AH41" s="44"/>
      <c r="AI41" s="44"/>
      <c r="AJ41" s="44"/>
      <c r="AP41" s="44"/>
      <c r="AQ41" s="44"/>
      <c r="AR41" s="44"/>
      <c r="AS41" s="44"/>
      <c r="AT41" s="44"/>
      <c r="AU41" s="44"/>
      <c r="AV41" s="44"/>
      <c r="AW41" s="44"/>
      <c r="AX41" s="44"/>
      <c r="AY41" s="44"/>
      <c r="AZ41" s="44"/>
      <c r="BA41" s="44"/>
      <c r="BB41" s="44"/>
      <c r="BC41" s="44"/>
      <c r="BD41" s="44"/>
      <c r="BE41" s="44"/>
      <c r="BF41" s="44"/>
    </row>
    <row r="42" spans="2:58" x14ac:dyDescent="0.25">
      <c r="B42" s="8"/>
      <c r="C42" s="2"/>
      <c r="D42" s="2"/>
      <c r="E42" s="2"/>
      <c r="F42" s="2"/>
      <c r="G42" s="2"/>
      <c r="H42" s="2"/>
      <c r="I42" s="2"/>
      <c r="J42" s="2"/>
      <c r="K42" s="2"/>
      <c r="L42" s="2"/>
      <c r="M42" s="2"/>
      <c r="N42" s="2"/>
      <c r="O42" s="2"/>
      <c r="P42" s="2"/>
      <c r="Q42" s="9"/>
      <c r="R42" s="16"/>
      <c r="S42" s="16">
        <f>IF(ISNA(VLOOKUP(Choix_caisson,Selection_Zone,1,0)),"",VLOOKUP(Choix_caisson,Selection_Zone,14,0))</f>
        <v>765</v>
      </c>
      <c r="T42" s="38"/>
      <c r="U42" s="38"/>
      <c r="V42" s="38"/>
      <c r="W42" s="38"/>
      <c r="X42" s="38"/>
      <c r="Y42" s="38"/>
      <c r="Z42" s="38"/>
      <c r="AA42" s="44"/>
      <c r="AB42" s="44"/>
      <c r="AC42" s="44"/>
      <c r="AD42" s="44"/>
      <c r="AE42" s="44"/>
      <c r="AF42" s="44"/>
      <c r="AG42" s="44"/>
      <c r="AH42" s="44"/>
      <c r="AI42" s="44"/>
      <c r="AJ42" s="44"/>
      <c r="AP42" s="44"/>
      <c r="AQ42" s="44"/>
      <c r="AR42" s="44"/>
      <c r="AS42" s="44"/>
      <c r="AT42" s="44"/>
      <c r="AU42" s="44"/>
      <c r="AV42" s="44"/>
      <c r="AW42" s="44"/>
      <c r="AX42" s="44"/>
      <c r="AY42" s="44"/>
      <c r="AZ42" s="44"/>
      <c r="BA42" s="44"/>
      <c r="BB42" s="44"/>
      <c r="BC42" s="44"/>
      <c r="BD42" s="44"/>
      <c r="BE42" s="44"/>
      <c r="BF42" s="44"/>
    </row>
    <row r="43" spans="2:58" ht="16.5" thickBot="1" x14ac:dyDescent="0.3">
      <c r="B43" s="12"/>
      <c r="C43" s="13"/>
      <c r="D43" s="13"/>
      <c r="E43" s="13"/>
      <c r="F43" s="13"/>
      <c r="G43" s="13"/>
      <c r="H43" s="13"/>
      <c r="I43" s="13"/>
      <c r="J43" s="13"/>
      <c r="K43" s="13"/>
      <c r="L43" s="13"/>
      <c r="M43" s="13"/>
      <c r="N43" s="13"/>
      <c r="O43" s="13"/>
      <c r="P43" s="13"/>
      <c r="Q43" s="14"/>
      <c r="R43" s="16"/>
      <c r="S43" s="16">
        <f>IF(ISNA(VLOOKUP(Choix_caisson,Selection_Zone,1,0)),"",VLOOKUP(Choix_caisson,Selection_Zone,15,0))</f>
        <v>677</v>
      </c>
      <c r="T43" s="38"/>
      <c r="U43" s="38"/>
      <c r="V43" s="38"/>
      <c r="W43" s="38"/>
      <c r="X43" s="38"/>
      <c r="Y43" s="38"/>
      <c r="Z43" s="38"/>
      <c r="AA43" s="44"/>
      <c r="AB43" s="44"/>
      <c r="AC43" s="44"/>
      <c r="AD43" s="44"/>
      <c r="AE43" s="44"/>
      <c r="AF43" s="44"/>
      <c r="AG43" s="44"/>
      <c r="AH43" s="44"/>
      <c r="AI43" s="44"/>
      <c r="AJ43" s="44"/>
      <c r="AP43" s="44"/>
      <c r="AQ43" s="44"/>
      <c r="AR43" s="44"/>
      <c r="AS43" s="44"/>
      <c r="AT43" s="44"/>
      <c r="AU43" s="44"/>
      <c r="AV43" s="44"/>
      <c r="AW43" s="44"/>
      <c r="AX43" s="44"/>
      <c r="AY43" s="44"/>
      <c r="AZ43" s="44"/>
      <c r="BA43" s="44"/>
      <c r="BB43" s="44"/>
      <c r="BC43" s="44"/>
      <c r="BD43" s="44"/>
      <c r="BE43" s="44"/>
      <c r="BF43" s="44"/>
    </row>
    <row r="44" spans="2:58" ht="20.25" x14ac:dyDescent="0.25">
      <c r="B44" s="377" t="s">
        <v>606</v>
      </c>
      <c r="C44" s="378"/>
      <c r="D44" s="379"/>
      <c r="E44" s="379"/>
      <c r="F44" s="379"/>
      <c r="G44" s="379"/>
      <c r="H44" s="379"/>
      <c r="I44" s="380"/>
      <c r="J44" s="380"/>
      <c r="K44" s="380"/>
      <c r="L44" s="380"/>
      <c r="M44" s="380"/>
      <c r="N44" s="379"/>
      <c r="O44" s="380"/>
      <c r="P44" s="380"/>
      <c r="Q44" s="380"/>
      <c r="R44" s="16"/>
      <c r="S44" s="16">
        <f>IF(ISNA(VLOOKUP(Choix_caisson,Selection_Zone,1,0)),"",VLOOKUP(Choix_caisson,Selection_Zone,16,0))</f>
        <v>564</v>
      </c>
      <c r="T44" s="38"/>
      <c r="U44" s="38"/>
      <c r="V44" s="38"/>
      <c r="W44" s="38"/>
      <c r="X44" s="38"/>
      <c r="Y44" s="38"/>
      <c r="Z44" s="38"/>
      <c r="AA44" s="44"/>
      <c r="AB44" s="44"/>
      <c r="AC44" s="44"/>
      <c r="AD44" s="44"/>
      <c r="AE44" s="44"/>
      <c r="AF44" s="44"/>
      <c r="AG44" s="44"/>
      <c r="AH44" s="44"/>
      <c r="AI44" s="44"/>
      <c r="AJ44" s="44"/>
      <c r="AP44" s="44"/>
      <c r="AQ44" s="44"/>
      <c r="AR44" s="44"/>
      <c r="AS44" s="44"/>
      <c r="AT44" s="44"/>
      <c r="AU44" s="44"/>
      <c r="AV44" s="44"/>
      <c r="AW44" s="44"/>
      <c r="AX44" s="44"/>
      <c r="AY44" s="44"/>
      <c r="AZ44" s="44"/>
      <c r="BA44" s="44"/>
      <c r="BB44" s="44"/>
      <c r="BC44" s="44"/>
      <c r="BD44" s="44"/>
      <c r="BE44" s="44"/>
      <c r="BF44" s="44"/>
    </row>
    <row r="45" spans="2:58" ht="15.75" customHeight="1" x14ac:dyDescent="0.25">
      <c r="B45" s="92"/>
      <c r="C45" s="2"/>
      <c r="D45" s="2"/>
      <c r="E45" s="2"/>
      <c r="F45" s="2"/>
      <c r="G45" s="2"/>
      <c r="H45" s="418" t="s">
        <v>488</v>
      </c>
      <c r="I45" s="418"/>
      <c r="J45" s="418"/>
      <c r="K45" s="418"/>
      <c r="L45" s="418"/>
      <c r="M45" s="418"/>
      <c r="N45" s="418"/>
      <c r="O45" s="418"/>
      <c r="P45" s="418"/>
      <c r="Q45" s="9"/>
      <c r="R45" s="16"/>
      <c r="S45" s="16"/>
      <c r="T45" s="38"/>
      <c r="U45" s="38"/>
      <c r="V45" s="38"/>
      <c r="W45" s="38"/>
      <c r="X45" s="38"/>
      <c r="Y45" s="38"/>
      <c r="Z45" s="38"/>
      <c r="AA45" s="44"/>
      <c r="AB45" s="44"/>
      <c r="AC45" s="44"/>
      <c r="AD45" s="44"/>
      <c r="AE45" s="44"/>
      <c r="AF45" s="44"/>
      <c r="AG45" s="44"/>
      <c r="AH45" s="44"/>
      <c r="AI45" s="44"/>
      <c r="AJ45" s="44"/>
      <c r="AP45" s="44"/>
      <c r="AQ45" s="44"/>
      <c r="AR45" s="44"/>
      <c r="AS45" s="44"/>
      <c r="AT45" s="44"/>
      <c r="AU45" s="44"/>
      <c r="AV45" s="44"/>
      <c r="AW45" s="44"/>
      <c r="AX45" s="44"/>
      <c r="AY45" s="44"/>
      <c r="AZ45" s="44"/>
      <c r="BA45" s="44"/>
      <c r="BB45" s="44"/>
      <c r="BC45" s="44"/>
      <c r="BD45" s="44"/>
      <c r="BE45" s="44"/>
      <c r="BF45" s="44"/>
    </row>
    <row r="46" spans="2:58" x14ac:dyDescent="0.25">
      <c r="B46" s="92"/>
      <c r="C46" s="2"/>
      <c r="D46" s="2"/>
      <c r="E46" s="2"/>
      <c r="F46" s="2"/>
      <c r="G46" s="2"/>
      <c r="H46" s="418"/>
      <c r="I46" s="418"/>
      <c r="J46" s="418"/>
      <c r="K46" s="418"/>
      <c r="L46" s="418"/>
      <c r="M46" s="418"/>
      <c r="N46" s="418"/>
      <c r="O46" s="418"/>
      <c r="P46" s="418"/>
      <c r="Q46" s="9"/>
      <c r="R46" s="16"/>
      <c r="S46" s="16"/>
      <c r="T46" s="38"/>
      <c r="U46" s="38"/>
      <c r="V46" s="38"/>
      <c r="W46" s="38"/>
      <c r="X46" s="38"/>
      <c r="Y46" s="38"/>
      <c r="Z46" s="38"/>
      <c r="AA46" s="44"/>
      <c r="AB46" s="44"/>
      <c r="AC46" s="44"/>
      <c r="AD46" s="44"/>
      <c r="AE46" s="44"/>
      <c r="AF46" s="44"/>
      <c r="AG46" s="44"/>
      <c r="AH46" s="44"/>
      <c r="AI46" s="44"/>
      <c r="AJ46" s="44"/>
      <c r="AP46" s="44"/>
      <c r="AQ46" s="44"/>
      <c r="AR46" s="44"/>
      <c r="AS46" s="44"/>
      <c r="AT46" s="44"/>
      <c r="AU46" s="44"/>
      <c r="AV46" s="44"/>
      <c r="AW46" s="44"/>
      <c r="AX46" s="44"/>
      <c r="AY46" s="44"/>
      <c r="AZ46" s="44"/>
      <c r="BA46" s="44"/>
      <c r="BB46" s="44"/>
      <c r="BC46" s="44"/>
      <c r="BD46" s="44"/>
      <c r="BE46" s="44"/>
      <c r="BF46" s="44"/>
    </row>
    <row r="47" spans="2:58" x14ac:dyDescent="0.25">
      <c r="B47" s="92"/>
      <c r="C47" s="2"/>
      <c r="D47" s="2"/>
      <c r="E47" s="2"/>
      <c r="F47" s="2"/>
      <c r="G47" s="2"/>
      <c r="H47" s="317"/>
      <c r="I47" s="317"/>
      <c r="J47" s="317"/>
      <c r="K47" s="317"/>
      <c r="L47" s="317"/>
      <c r="M47" s="317"/>
      <c r="N47" s="317"/>
      <c r="O47" s="317"/>
      <c r="P47" s="317"/>
      <c r="Q47" s="9"/>
      <c r="R47" s="16"/>
      <c r="S47" s="16"/>
      <c r="T47" s="38"/>
      <c r="U47" s="38"/>
      <c r="V47" s="38"/>
      <c r="W47" s="38"/>
      <c r="X47" s="38"/>
      <c r="Y47" s="38"/>
      <c r="Z47" s="38"/>
      <c r="AA47" s="44"/>
      <c r="AB47" s="44"/>
      <c r="AC47" s="44"/>
      <c r="AD47" s="44"/>
      <c r="AE47" s="44"/>
      <c r="AF47" s="44"/>
      <c r="AG47" s="44"/>
      <c r="AH47" s="44"/>
      <c r="AI47" s="44"/>
      <c r="AJ47" s="44"/>
      <c r="AP47" s="44"/>
      <c r="AQ47" s="44"/>
      <c r="AR47" s="44"/>
      <c r="AS47" s="44"/>
      <c r="AT47" s="44"/>
      <c r="AU47" s="44"/>
      <c r="AV47" s="44"/>
      <c r="AW47" s="44"/>
      <c r="AX47" s="44"/>
      <c r="AY47" s="44"/>
      <c r="AZ47" s="44"/>
      <c r="BA47" s="44"/>
      <c r="BB47" s="44"/>
      <c r="BC47" s="44"/>
      <c r="BD47" s="44"/>
      <c r="BE47" s="44"/>
      <c r="BF47" s="44"/>
    </row>
    <row r="48" spans="2:58" x14ac:dyDescent="0.25">
      <c r="B48" s="92"/>
      <c r="C48" s="2"/>
      <c r="D48" s="2"/>
      <c r="E48" s="2"/>
      <c r="F48" s="129" t="s">
        <v>52</v>
      </c>
      <c r="G48" s="2"/>
      <c r="H48" s="397" t="s">
        <v>54</v>
      </c>
      <c r="I48" s="398"/>
      <c r="J48" s="398"/>
      <c r="K48" s="398"/>
      <c r="L48" s="399"/>
      <c r="M48" s="282" t="s">
        <v>489</v>
      </c>
      <c r="N48" s="2"/>
      <c r="O48" s="2"/>
      <c r="P48" s="2"/>
      <c r="Q48" s="9"/>
      <c r="R48" s="16"/>
      <c r="S48" s="16"/>
      <c r="T48" s="38"/>
      <c r="U48" s="38"/>
      <c r="V48" s="38"/>
      <c r="W48" s="38"/>
      <c r="X48" s="38"/>
      <c r="Y48" s="38"/>
      <c r="Z48" s="38"/>
      <c r="AA48" s="44"/>
      <c r="AB48" s="44"/>
      <c r="AC48" s="44"/>
      <c r="AD48" s="44"/>
      <c r="AE48" s="44"/>
      <c r="AF48" s="44"/>
      <c r="AG48" s="44"/>
      <c r="AH48" s="44"/>
      <c r="AI48" s="44"/>
      <c r="AJ48" s="44"/>
      <c r="AP48" s="44"/>
      <c r="AQ48" s="44"/>
      <c r="AR48" s="44"/>
      <c r="AS48" s="44"/>
      <c r="AT48" s="44"/>
      <c r="AU48" s="44"/>
      <c r="AV48" s="44"/>
      <c r="AW48" s="44"/>
      <c r="AX48" s="44"/>
      <c r="AY48" s="44"/>
      <c r="AZ48" s="44"/>
      <c r="BA48" s="44"/>
      <c r="BB48" s="44"/>
      <c r="BC48" s="44"/>
      <c r="BD48" s="44"/>
      <c r="BE48" s="44"/>
      <c r="BF48" s="44"/>
    </row>
    <row r="49" spans="2:58" x14ac:dyDescent="0.25">
      <c r="B49" s="92"/>
      <c r="C49" s="2"/>
      <c r="D49" s="2"/>
      <c r="E49" s="2"/>
      <c r="F49" s="2"/>
      <c r="G49" s="2"/>
      <c r="H49" s="2"/>
      <c r="I49" s="2"/>
      <c r="J49" s="2"/>
      <c r="K49" s="2"/>
      <c r="L49" s="2"/>
      <c r="M49" s="2"/>
      <c r="N49" s="2"/>
      <c r="O49" s="2"/>
      <c r="P49" s="2"/>
      <c r="Q49" s="9"/>
      <c r="R49" s="16"/>
      <c r="S49" s="16"/>
      <c r="T49" s="38"/>
      <c r="U49" s="38"/>
      <c r="V49" s="38"/>
      <c r="W49" s="38"/>
      <c r="X49" s="38"/>
      <c r="Y49" s="38"/>
      <c r="Z49" s="38"/>
      <c r="AA49" s="44"/>
      <c r="AB49" s="44"/>
      <c r="AC49" s="44"/>
      <c r="AD49" s="44"/>
      <c r="AE49" s="44"/>
      <c r="AF49" s="44"/>
      <c r="AG49" s="44"/>
      <c r="AH49" s="44"/>
      <c r="AI49" s="44"/>
      <c r="AJ49" s="44"/>
      <c r="AP49" s="44"/>
      <c r="AQ49" s="44"/>
      <c r="AR49" s="44"/>
      <c r="AS49" s="44"/>
      <c r="AT49" s="44"/>
      <c r="AU49" s="44"/>
      <c r="AV49" s="44"/>
      <c r="AW49" s="44"/>
      <c r="AX49" s="44"/>
      <c r="AY49" s="44"/>
      <c r="AZ49" s="44"/>
      <c r="BA49" s="44"/>
      <c r="BB49" s="44"/>
      <c r="BC49" s="44"/>
      <c r="BD49" s="44"/>
      <c r="BE49" s="44"/>
      <c r="BF49" s="44"/>
    </row>
    <row r="50" spans="2:58" x14ac:dyDescent="0.25">
      <c r="B50" s="92"/>
      <c r="C50" s="2"/>
      <c r="D50" s="2"/>
      <c r="E50" s="2"/>
      <c r="F50" s="128" t="s">
        <v>301</v>
      </c>
      <c r="G50" s="2"/>
      <c r="H50" s="397" t="s">
        <v>579</v>
      </c>
      <c r="I50" s="398"/>
      <c r="J50" s="398"/>
      <c r="K50" s="398"/>
      <c r="L50" s="399"/>
      <c r="M50" s="282" t="s">
        <v>515</v>
      </c>
      <c r="Q50" s="9"/>
      <c r="R50" s="16"/>
      <c r="S50" s="16"/>
      <c r="T50" s="38"/>
      <c r="U50" s="38"/>
      <c r="V50" s="38"/>
      <c r="W50" s="38"/>
      <c r="X50" s="38"/>
      <c r="Y50" s="38"/>
      <c r="Z50" s="38"/>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row>
    <row r="51" spans="2:58" x14ac:dyDescent="0.25">
      <c r="B51" s="92"/>
      <c r="C51" s="2"/>
      <c r="D51" s="2"/>
      <c r="E51" s="65" t="str">
        <f>IF(J399&lt;S37,"Attention : caisson non adapté au renouvellement d'air --&gt;","")</f>
        <v/>
      </c>
      <c r="F51" s="2"/>
      <c r="G51" s="2"/>
      <c r="I51" s="2"/>
      <c r="J51" s="90" t="str">
        <f>IF(OR(J399&lt;S37,J399&gt;S41),debit,"")</f>
        <v/>
      </c>
      <c r="K51" s="65" t="str">
        <f>IF(OR(J399&lt;S37,J399&gt;S41),"m3/h en base","")</f>
        <v/>
      </c>
      <c r="L51" s="2"/>
      <c r="M51" s="2"/>
      <c r="N51" s="2"/>
      <c r="O51" s="2"/>
      <c r="P51" s="2"/>
      <c r="Q51" s="9"/>
      <c r="R51" s="16"/>
      <c r="S51" s="16"/>
      <c r="T51" s="38"/>
      <c r="U51" s="38"/>
      <c r="V51" s="38"/>
      <c r="W51" s="38"/>
      <c r="X51" s="38"/>
      <c r="Y51" s="38"/>
      <c r="Z51" s="38"/>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row>
    <row r="52" spans="2:58" ht="15.75" customHeight="1" x14ac:dyDescent="0.25">
      <c r="B52" s="92"/>
      <c r="C52" s="2"/>
      <c r="D52" s="2"/>
      <c r="E52" s="439">
        <f>Valeur_Eff1</f>
        <v>0.28999999999999998</v>
      </c>
      <c r="F52" s="2"/>
      <c r="G52" s="2"/>
      <c r="H52" s="52" t="str">
        <f>IF(ISNA(VLOOKUP(Choix_caisson,Selection_Zone,1,0)),"",VLOOKUP(Choix_caisson,Selection_Zone,2,0))</f>
        <v>Brink</v>
      </c>
      <c r="I52" s="431" t="str">
        <f>CONCATENATE("débits de base de ",S37," à ",S41," m3/h pour 100 Pa")</f>
        <v>débits de base de 78 à 210 m3/h pour 100 Pa</v>
      </c>
      <c r="J52" s="432"/>
      <c r="K52" s="432"/>
      <c r="L52" s="432"/>
      <c r="M52" s="432"/>
      <c r="N52" s="2"/>
      <c r="O52" s="436">
        <f>Valeur_nWRG_1</f>
        <v>0.84</v>
      </c>
      <c r="P52" s="2"/>
      <c r="Q52" s="9"/>
      <c r="R52" s="16"/>
      <c r="S52" s="16"/>
      <c r="T52" s="38"/>
      <c r="U52" s="38"/>
      <c r="V52" s="38"/>
      <c r="W52" s="38"/>
      <c r="X52" s="38"/>
      <c r="Y52" s="38"/>
      <c r="Z52" s="38"/>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row>
    <row r="53" spans="2:58" ht="15.75" customHeight="1" x14ac:dyDescent="0.25">
      <c r="B53" s="92"/>
      <c r="C53" s="2"/>
      <c r="D53" s="2"/>
      <c r="E53" s="440"/>
      <c r="F53" s="2"/>
      <c r="G53" s="2"/>
      <c r="H53" s="2"/>
      <c r="I53" s="324" t="str">
        <f>CONCATENATE("dimensions du caisson hxlxp : ",S42," x ",S43," x ",S44)</f>
        <v>dimensions du caisson hxlxp : 765 x 677 x 564</v>
      </c>
      <c r="J53" s="325"/>
      <c r="K53" s="325"/>
      <c r="L53" s="326"/>
      <c r="M53" s="326"/>
      <c r="N53" s="2"/>
      <c r="O53" s="437"/>
      <c r="P53" s="2"/>
      <c r="Q53" s="9"/>
      <c r="R53" s="16"/>
      <c r="S53" s="16"/>
      <c r="T53" s="38"/>
      <c r="U53" s="38"/>
      <c r="V53" s="38"/>
      <c r="W53" s="38"/>
      <c r="X53" s="38"/>
      <c r="Y53" s="38"/>
      <c r="Z53" s="38"/>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row>
    <row r="54" spans="2:58" ht="15.75" customHeight="1" x14ac:dyDescent="0.25">
      <c r="B54" s="92"/>
      <c r="C54" s="2"/>
      <c r="D54" s="2"/>
      <c r="E54" s="440"/>
      <c r="F54" s="2"/>
      <c r="G54" s="2"/>
      <c r="H54" s="2"/>
      <c r="I54" s="324" t="str">
        <f>CONCATENATE("piquages en dn : ",S65, "mm")</f>
        <v>piquages en dn : 150/160mm</v>
      </c>
      <c r="J54" s="325"/>
      <c r="K54" s="325"/>
      <c r="L54" s="326"/>
      <c r="M54" s="326"/>
      <c r="N54" s="2"/>
      <c r="O54" s="437"/>
      <c r="P54" s="2"/>
      <c r="Q54" s="9"/>
      <c r="R54" s="16"/>
      <c r="S54" s="16"/>
      <c r="T54" s="38"/>
      <c r="U54" s="38"/>
      <c r="V54" s="38"/>
      <c r="W54" s="38"/>
      <c r="X54" s="38"/>
      <c r="Y54" s="38"/>
      <c r="Z54" s="38"/>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row>
    <row r="55" spans="2:58" ht="15.75" customHeight="1" x14ac:dyDescent="0.25">
      <c r="B55" s="92"/>
      <c r="C55" s="2"/>
      <c r="D55" s="2"/>
      <c r="E55" s="441"/>
      <c r="F55" s="2"/>
      <c r="G55" s="2"/>
      <c r="H55" s="2"/>
      <c r="I55" s="327" t="str">
        <f>CONCATENATE("Certificats : PHI ",S69, " - NFVMC : ",S68)</f>
        <v>Certificats : PHI oui - NFVMC : oui</v>
      </c>
      <c r="J55" s="326"/>
      <c r="K55" s="326"/>
      <c r="L55" s="326"/>
      <c r="M55" s="326"/>
      <c r="N55" s="2"/>
      <c r="O55" s="438"/>
      <c r="P55" s="2"/>
      <c r="Q55" s="9"/>
      <c r="R55" s="16"/>
      <c r="S55" s="16"/>
      <c r="T55" s="38"/>
      <c r="U55" s="38"/>
      <c r="V55" s="38"/>
      <c r="W55" s="38"/>
      <c r="X55" s="38"/>
      <c r="Y55" s="38"/>
      <c r="Z55" s="38"/>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row>
    <row r="56" spans="2:58" x14ac:dyDescent="0.25">
      <c r="B56" s="92"/>
      <c r="C56" s="2"/>
      <c r="D56" s="2"/>
      <c r="E56" s="138" t="s">
        <v>608</v>
      </c>
      <c r="F56" s="2"/>
      <c r="G56" s="2"/>
      <c r="K56" s="90" t="str">
        <f>IF(J399&gt;S41,"Attention : caisson non adapté au renouvellement d'air :","")</f>
        <v/>
      </c>
      <c r="N56" s="2"/>
      <c r="O56" s="138" t="s">
        <v>609</v>
      </c>
      <c r="P56" s="2"/>
      <c r="Q56" s="9"/>
      <c r="R56" s="16"/>
      <c r="S56" s="16"/>
      <c r="T56" s="38"/>
      <c r="U56" s="38"/>
      <c r="V56" s="38"/>
      <c r="W56" s="38"/>
      <c r="X56" s="38"/>
      <c r="Y56" s="38"/>
      <c r="Z56" s="38"/>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row>
    <row r="57" spans="2:58" x14ac:dyDescent="0.25">
      <c r="B57" s="92"/>
      <c r="C57" s="2"/>
      <c r="D57" s="2"/>
      <c r="E57" s="2"/>
      <c r="F57" s="2"/>
      <c r="G57" s="2"/>
      <c r="H57" s="2"/>
      <c r="I57" s="2"/>
      <c r="J57" s="2"/>
      <c r="K57" s="2"/>
      <c r="L57" s="2"/>
      <c r="M57" s="2"/>
      <c r="N57" s="2"/>
      <c r="O57" s="2"/>
      <c r="P57" s="2"/>
      <c r="Q57" s="9"/>
      <c r="R57" s="16"/>
      <c r="S57" s="16"/>
      <c r="T57" s="38"/>
      <c r="U57" s="38"/>
      <c r="V57" s="38"/>
      <c r="W57" s="38"/>
      <c r="X57" s="38"/>
      <c r="Y57" s="38"/>
      <c r="Z57" s="38"/>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row>
    <row r="58" spans="2:58" ht="15.75" customHeight="1" x14ac:dyDescent="0.25">
      <c r="B58" s="92"/>
      <c r="C58" s="2"/>
      <c r="D58" s="2"/>
      <c r="E58" s="2"/>
      <c r="F58" s="318" t="s">
        <v>610</v>
      </c>
      <c r="G58" s="2"/>
      <c r="H58" s="442" t="s">
        <v>244</v>
      </c>
      <c r="I58" s="443"/>
      <c r="J58" s="443"/>
      <c r="K58" s="443"/>
      <c r="L58" s="444"/>
      <c r="M58" s="282" t="s">
        <v>514</v>
      </c>
      <c r="N58" s="2"/>
      <c r="O58" s="2"/>
      <c r="P58" s="2"/>
      <c r="Q58" s="9"/>
      <c r="R58" s="16"/>
      <c r="S58" s="16"/>
      <c r="T58" s="38"/>
      <c r="U58" s="38"/>
      <c r="V58" s="38"/>
      <c r="W58" s="38"/>
      <c r="X58" s="38"/>
      <c r="Y58" s="38"/>
      <c r="Z58" s="38"/>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row>
    <row r="59" spans="2:58" x14ac:dyDescent="0.25">
      <c r="B59" s="92"/>
      <c r="C59" s="2"/>
      <c r="D59" s="2"/>
      <c r="E59" s="2"/>
      <c r="F59" s="2"/>
      <c r="G59" s="2"/>
      <c r="H59" s="2"/>
      <c r="I59" s="2"/>
      <c r="J59" s="2"/>
      <c r="K59" s="2"/>
      <c r="L59" s="2"/>
      <c r="M59" s="2"/>
      <c r="N59" s="2"/>
      <c r="O59" s="2"/>
      <c r="P59" s="2"/>
      <c r="Q59" s="9"/>
      <c r="R59" s="16"/>
      <c r="S59" s="16"/>
      <c r="T59" s="38"/>
      <c r="U59" s="38"/>
      <c r="V59" s="38"/>
      <c r="W59" s="38"/>
      <c r="X59" s="38"/>
      <c r="Y59" s="38"/>
      <c r="Z59" s="38"/>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row>
    <row r="60" spans="2:58" ht="15.75" customHeight="1" x14ac:dyDescent="0.25">
      <c r="B60" s="92"/>
      <c r="C60" s="2"/>
      <c r="D60" s="2"/>
      <c r="E60" s="2"/>
      <c r="F60" s="2"/>
      <c r="G60" s="2"/>
      <c r="H60" s="422" t="s">
        <v>611</v>
      </c>
      <c r="I60" s="422"/>
      <c r="J60" s="422"/>
      <c r="K60" s="422"/>
      <c r="L60" s="422"/>
      <c r="M60" s="422"/>
      <c r="N60" s="422"/>
      <c r="O60" s="422"/>
      <c r="P60" s="422"/>
      <c r="Q60" s="9"/>
      <c r="R60" s="16"/>
      <c r="S60" s="16"/>
      <c r="T60" s="38"/>
      <c r="U60" s="38"/>
      <c r="V60" s="38"/>
      <c r="W60" s="38"/>
      <c r="X60" s="38"/>
      <c r="Y60" s="38"/>
      <c r="Z60" s="38"/>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row>
    <row r="61" spans="2:58" x14ac:dyDescent="0.25">
      <c r="B61" s="92"/>
      <c r="C61" s="2"/>
      <c r="D61" s="2"/>
      <c r="E61" s="2"/>
      <c r="F61" s="2"/>
      <c r="G61" s="2"/>
      <c r="H61" s="422"/>
      <c r="I61" s="422"/>
      <c r="J61" s="422"/>
      <c r="K61" s="422"/>
      <c r="L61" s="422"/>
      <c r="M61" s="422"/>
      <c r="N61" s="422"/>
      <c r="O61" s="422"/>
      <c r="P61" s="422"/>
      <c r="Q61" s="9"/>
      <c r="R61" s="16"/>
      <c r="S61" s="16"/>
      <c r="T61" s="38"/>
      <c r="U61" s="38"/>
      <c r="V61" s="38"/>
      <c r="W61" s="38"/>
      <c r="X61" s="38"/>
      <c r="Y61" s="38"/>
      <c r="Z61" s="38"/>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row>
    <row r="62" spans="2:58" x14ac:dyDescent="0.25">
      <c r="B62" s="92"/>
      <c r="C62" s="2"/>
      <c r="D62" s="2"/>
      <c r="E62" s="2"/>
      <c r="F62" s="2"/>
      <c r="G62" s="2"/>
      <c r="H62" s="422"/>
      <c r="I62" s="422"/>
      <c r="J62" s="422"/>
      <c r="K62" s="422"/>
      <c r="L62" s="422"/>
      <c r="M62" s="422"/>
      <c r="N62" s="422"/>
      <c r="O62" s="422"/>
      <c r="P62" s="422"/>
      <c r="Q62" s="9"/>
      <c r="R62" s="16"/>
      <c r="S62" s="16"/>
      <c r="T62" s="38"/>
      <c r="U62" s="38"/>
      <c r="V62" s="38"/>
      <c r="W62" s="38"/>
      <c r="X62" s="38"/>
      <c r="Y62" s="38"/>
      <c r="Z62" s="38"/>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row>
    <row r="63" spans="2:58" x14ac:dyDescent="0.25">
      <c r="B63" s="92"/>
      <c r="C63" s="2"/>
      <c r="D63" s="2"/>
      <c r="E63" s="2"/>
      <c r="F63" s="2"/>
      <c r="G63" s="2"/>
      <c r="H63" s="2"/>
      <c r="I63" s="2"/>
      <c r="J63" s="2"/>
      <c r="K63" s="2"/>
      <c r="L63" s="2"/>
      <c r="M63" s="2"/>
      <c r="N63" s="2"/>
      <c r="O63" s="2"/>
      <c r="P63" s="2"/>
      <c r="Q63" s="9"/>
      <c r="R63" s="16"/>
      <c r="S63" s="16"/>
      <c r="T63" s="38"/>
      <c r="U63" s="38"/>
      <c r="V63" s="38"/>
      <c r="W63" s="38"/>
      <c r="X63" s="38"/>
      <c r="Y63" s="38"/>
      <c r="Z63" s="38"/>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row>
    <row r="64" spans="2:58" x14ac:dyDescent="0.25">
      <c r="B64" s="92"/>
      <c r="C64" s="2"/>
      <c r="D64" s="2"/>
      <c r="E64" s="2"/>
      <c r="F64" s="37" t="s">
        <v>59</v>
      </c>
      <c r="G64" s="2"/>
      <c r="H64" s="397" t="s">
        <v>61</v>
      </c>
      <c r="I64" s="398"/>
      <c r="J64" s="398"/>
      <c r="K64" s="398"/>
      <c r="L64" s="399"/>
      <c r="M64" s="2"/>
      <c r="N64" s="2"/>
      <c r="O64" s="2"/>
      <c r="P64" s="2"/>
      <c r="Q64" s="9"/>
      <c r="R64" s="16"/>
      <c r="S64" s="16"/>
      <c r="T64" s="38"/>
      <c r="U64" s="38"/>
      <c r="V64" s="38"/>
      <c r="W64" s="38"/>
      <c r="X64" s="38"/>
      <c r="Y64" s="38"/>
      <c r="Z64" s="38"/>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row>
    <row r="65" spans="2:58" x14ac:dyDescent="0.25">
      <c r="B65" s="8"/>
      <c r="C65" s="2"/>
      <c r="D65" s="2"/>
      <c r="E65" s="2"/>
      <c r="F65" s="2"/>
      <c r="G65" s="2"/>
      <c r="H65" s="2"/>
      <c r="I65" s="2"/>
      <c r="J65" s="2"/>
      <c r="K65" s="2"/>
      <c r="L65" s="2"/>
      <c r="M65" s="2"/>
      <c r="N65" s="2"/>
      <c r="O65" s="2"/>
      <c r="P65" s="2"/>
      <c r="Q65" s="9"/>
      <c r="R65" s="16"/>
      <c r="S65" s="16" t="str">
        <f>IF(ISNA(VLOOKUP(Choix_caisson,Selection_Zone,1,0)),"",VLOOKUP(Choix_caisson,Selection_Zone,17,0))</f>
        <v>150/160</v>
      </c>
      <c r="T65" s="38"/>
      <c r="U65" s="38"/>
      <c r="V65" s="38"/>
      <c r="W65" s="38"/>
      <c r="X65" s="38"/>
      <c r="Y65" s="38"/>
      <c r="Z65" s="38"/>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row>
    <row r="66" spans="2:58" ht="15.75" customHeight="1" x14ac:dyDescent="0.25">
      <c r="B66" s="8"/>
      <c r="C66" s="2"/>
      <c r="D66" s="2"/>
      <c r="E66" s="2"/>
      <c r="F66" s="2"/>
      <c r="G66" s="2"/>
      <c r="H66" s="422" t="s">
        <v>612</v>
      </c>
      <c r="I66" s="422"/>
      <c r="J66" s="422"/>
      <c r="K66" s="422"/>
      <c r="L66" s="422"/>
      <c r="M66" s="422"/>
      <c r="N66" s="422"/>
      <c r="O66" s="422"/>
      <c r="P66" s="422"/>
      <c r="Q66" s="9"/>
      <c r="R66" s="16"/>
      <c r="S66" s="16"/>
      <c r="T66" s="38"/>
      <c r="U66" s="38"/>
      <c r="V66" s="38"/>
      <c r="W66" s="38"/>
      <c r="X66" s="38"/>
      <c r="Y66" s="38"/>
      <c r="Z66" s="38"/>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row>
    <row r="67" spans="2:58" x14ac:dyDescent="0.25">
      <c r="B67" s="8"/>
      <c r="C67" s="2"/>
      <c r="D67" s="2"/>
      <c r="E67" s="2"/>
      <c r="F67" s="2"/>
      <c r="G67" s="2"/>
      <c r="H67" s="422"/>
      <c r="I67" s="422"/>
      <c r="J67" s="422"/>
      <c r="K67" s="422"/>
      <c r="L67" s="422"/>
      <c r="M67" s="422"/>
      <c r="N67" s="422"/>
      <c r="O67" s="422"/>
      <c r="P67" s="422"/>
      <c r="Q67" s="9"/>
      <c r="R67" s="16"/>
      <c r="S67" s="16"/>
      <c r="T67" s="38"/>
      <c r="U67" s="38"/>
      <c r="V67" s="38"/>
      <c r="W67" s="38"/>
      <c r="X67" s="38"/>
      <c r="Y67" s="38"/>
      <c r="Z67" s="38"/>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row>
    <row r="68" spans="2:58" x14ac:dyDescent="0.25">
      <c r="B68" s="92"/>
      <c r="C68" s="2"/>
      <c r="D68" s="2"/>
      <c r="E68" s="2"/>
      <c r="F68" s="2"/>
      <c r="G68" s="2"/>
      <c r="H68" s="422"/>
      <c r="I68" s="422"/>
      <c r="J68" s="422"/>
      <c r="K68" s="422"/>
      <c r="L68" s="422"/>
      <c r="M68" s="422"/>
      <c r="N68" s="422"/>
      <c r="O68" s="422"/>
      <c r="P68" s="422"/>
      <c r="Q68" s="9"/>
      <c r="R68" s="16"/>
      <c r="S68" s="56" t="str">
        <f>IF(ISNA(VLOOKUP(Choix_caisson,Selection_Zone,1,0)),"",VLOOKUP(Choix_caisson,Selection_Zone,18,0))</f>
        <v>oui</v>
      </c>
      <c r="T68" s="38"/>
      <c r="U68" s="38"/>
      <c r="V68" s="38"/>
      <c r="W68" s="38"/>
      <c r="X68" s="38"/>
      <c r="Y68" s="38"/>
      <c r="Z68" s="38"/>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row>
    <row r="69" spans="2:58" ht="15.75" customHeight="1" x14ac:dyDescent="0.25">
      <c r="B69" s="8"/>
      <c r="C69" s="2"/>
      <c r="D69" s="2"/>
      <c r="E69" s="2"/>
      <c r="F69" s="2"/>
      <c r="G69" s="2"/>
      <c r="H69" s="2"/>
      <c r="I69" s="2"/>
      <c r="J69" s="2"/>
      <c r="K69" s="2"/>
      <c r="L69" s="2"/>
      <c r="M69" s="2"/>
      <c r="N69" s="2"/>
      <c r="O69" s="2"/>
      <c r="P69" s="2"/>
      <c r="Q69" s="9"/>
      <c r="R69" s="16"/>
      <c r="S69" s="56" t="str">
        <f>IF(ISNA(VLOOKUP(Choix_caisson,Selection_Zone,1,0)),"",VLOOKUP(Choix_caisson,Selection_Zone,19,0))</f>
        <v>oui</v>
      </c>
      <c r="T69" s="38"/>
      <c r="U69" s="38"/>
      <c r="V69" s="38"/>
      <c r="W69" s="38"/>
      <c r="X69" s="38"/>
      <c r="Y69" s="38"/>
      <c r="Z69" s="38"/>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row>
    <row r="70" spans="2:58" x14ac:dyDescent="0.25">
      <c r="B70" s="92"/>
      <c r="C70" s="2"/>
      <c r="D70" s="2"/>
      <c r="E70" s="2"/>
      <c r="F70" s="37" t="s">
        <v>302</v>
      </c>
      <c r="G70" s="2"/>
      <c r="H70" s="397" t="s">
        <v>61</v>
      </c>
      <c r="I70" s="398"/>
      <c r="J70" s="398"/>
      <c r="K70" s="398"/>
      <c r="L70" s="399"/>
      <c r="M70" s="16">
        <f>IF(H70="NON",-5,Q76)</f>
        <v>-5</v>
      </c>
      <c r="N70" s="16"/>
      <c r="O70" s="16">
        <f>IF(H70="OUI",0,1)</f>
        <v>1</v>
      </c>
      <c r="P70" s="2"/>
      <c r="Q70" s="9"/>
      <c r="R70" s="16"/>
      <c r="S70" s="16"/>
      <c r="T70" s="38"/>
      <c r="U70" s="38"/>
      <c r="V70" s="38"/>
      <c r="W70" s="38"/>
      <c r="X70" s="38"/>
      <c r="Y70" s="38"/>
      <c r="Z70" s="38"/>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row>
    <row r="71" spans="2:58" x14ac:dyDescent="0.25">
      <c r="B71" s="8"/>
      <c r="C71" s="2"/>
      <c r="D71" s="2"/>
      <c r="E71" s="2"/>
      <c r="F71" s="2"/>
      <c r="G71" s="2"/>
      <c r="H71" s="2"/>
      <c r="I71" s="2"/>
      <c r="J71" s="2"/>
      <c r="K71" s="2"/>
      <c r="L71" s="2"/>
      <c r="M71" s="2"/>
      <c r="N71" s="2"/>
      <c r="O71" s="2"/>
      <c r="P71" s="2"/>
      <c r="Q71" s="9"/>
      <c r="R71" s="16"/>
      <c r="S71" s="16"/>
      <c r="T71" s="38"/>
      <c r="U71" s="38"/>
      <c r="V71" s="38"/>
      <c r="W71" s="38"/>
      <c r="X71" s="38"/>
      <c r="Y71" s="38"/>
      <c r="Z71" s="38"/>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row>
    <row r="72" spans="2:58" x14ac:dyDescent="0.25">
      <c r="B72" s="8"/>
      <c r="C72" s="2"/>
      <c r="D72" s="2"/>
      <c r="E72" s="2"/>
      <c r="F72" s="318" t="s">
        <v>303</v>
      </c>
      <c r="G72" s="2"/>
      <c r="H72" s="397" t="s">
        <v>305</v>
      </c>
      <c r="I72" s="398"/>
      <c r="J72" s="398"/>
      <c r="K72" s="398"/>
      <c r="L72" s="399"/>
      <c r="M72" s="2"/>
      <c r="N72" s="2"/>
      <c r="O72" s="2"/>
      <c r="P72" s="2"/>
      <c r="Q72" s="9"/>
      <c r="R72" s="16"/>
      <c r="S72" s="16"/>
      <c r="T72" s="38"/>
      <c r="U72" s="38"/>
      <c r="V72" s="38"/>
      <c r="W72" s="38"/>
      <c r="X72" s="38"/>
      <c r="Y72" s="38"/>
      <c r="Z72" s="38"/>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row>
    <row r="73" spans="2:58" x14ac:dyDescent="0.25">
      <c r="B73" s="8"/>
      <c r="C73" s="2"/>
      <c r="D73" s="2"/>
      <c r="E73" s="2"/>
      <c r="F73" s="318"/>
      <c r="G73" s="2"/>
      <c r="H73" s="2"/>
      <c r="I73" s="2"/>
      <c r="J73" s="2"/>
      <c r="K73" s="2"/>
      <c r="L73" s="2"/>
      <c r="M73" s="2"/>
      <c r="N73" s="2"/>
      <c r="O73" s="2"/>
      <c r="P73" s="2"/>
      <c r="Q73" s="9"/>
      <c r="R73" s="290" t="s">
        <v>526</v>
      </c>
      <c r="S73" s="288"/>
      <c r="T73" s="290"/>
      <c r="U73" s="290"/>
      <c r="V73" s="290"/>
      <c r="W73" s="291"/>
      <c r="X73" s="291"/>
      <c r="Y73" s="38"/>
      <c r="Z73" s="38"/>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row>
    <row r="74" spans="2:58" ht="15.6" customHeight="1" x14ac:dyDescent="0.25">
      <c r="B74" s="8"/>
      <c r="C74" s="2"/>
      <c r="D74" s="2"/>
      <c r="E74" s="2"/>
      <c r="F74" s="318"/>
      <c r="G74" s="2"/>
      <c r="H74" s="2"/>
      <c r="I74" s="2"/>
      <c r="J74" s="2"/>
      <c r="K74" s="2"/>
      <c r="L74" s="125" t="s">
        <v>309</v>
      </c>
      <c r="M74" s="2"/>
      <c r="N74" s="2"/>
      <c r="O74" s="2"/>
      <c r="P74" s="2"/>
      <c r="Q74" s="9"/>
      <c r="R74" s="416" t="s">
        <v>527</v>
      </c>
      <c r="S74" s="417"/>
      <c r="T74" s="417"/>
      <c r="U74" s="417"/>
      <c r="V74" s="417"/>
      <c r="W74" s="38"/>
      <c r="X74" s="38"/>
      <c r="Y74" s="38"/>
      <c r="Z74" s="38"/>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row>
    <row r="75" spans="2:58" x14ac:dyDescent="0.25">
      <c r="B75" s="8"/>
      <c r="C75" s="2"/>
      <c r="D75" s="2"/>
      <c r="E75" s="2"/>
      <c r="F75" s="318"/>
      <c r="G75" s="2"/>
      <c r="H75" s="2"/>
      <c r="I75" s="2"/>
      <c r="J75" s="2"/>
      <c r="K75" s="2"/>
      <c r="L75" s="318" t="s">
        <v>310</v>
      </c>
      <c r="M75" s="152"/>
      <c r="N75" s="2" t="s">
        <v>15</v>
      </c>
      <c r="O75" s="2"/>
      <c r="P75" s="16">
        <f>IF(ISNA(VLOOKUP(Choix_rolepc,Zone_rolepc,1,0)),"",VLOOKUP(Choix_rolepc,Zone_rolepc,3,0))</f>
        <v>0</v>
      </c>
      <c r="Q75" s="58">
        <f>IF(M75="",P75,M75)</f>
        <v>0</v>
      </c>
      <c r="R75" s="416"/>
      <c r="S75" s="417"/>
      <c r="T75" s="417"/>
      <c r="U75" s="417"/>
      <c r="V75" s="417"/>
      <c r="W75" s="38"/>
      <c r="X75" s="38"/>
      <c r="Y75" s="38"/>
      <c r="Z75" s="38"/>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row>
    <row r="76" spans="2:58" x14ac:dyDescent="0.25">
      <c r="B76" s="8"/>
      <c r="C76" s="2"/>
      <c r="D76" s="2"/>
      <c r="E76" s="2"/>
      <c r="F76" s="318"/>
      <c r="G76" s="2"/>
      <c r="H76" s="2"/>
      <c r="I76" s="2"/>
      <c r="J76" s="2"/>
      <c r="K76" s="2"/>
      <c r="L76" s="318" t="s">
        <v>311</v>
      </c>
      <c r="M76" s="153"/>
      <c r="N76" s="2" t="s">
        <v>312</v>
      </c>
      <c r="O76" s="2"/>
      <c r="P76" s="16">
        <f>IF(ISNA(VLOOKUP(Choix_rolepc,Zone_rolepc,1,0)),"",VLOOKUP(Choix_rolepc,Zone_rolepc,2,0))</f>
        <v>3</v>
      </c>
      <c r="Q76" s="58">
        <f>IF(M76="",P76,M76)</f>
        <v>3</v>
      </c>
      <c r="R76" s="416"/>
      <c r="S76" s="417"/>
      <c r="T76" s="417"/>
      <c r="U76" s="417"/>
      <c r="V76" s="417"/>
      <c r="W76" s="38"/>
      <c r="X76" s="38"/>
      <c r="Y76" s="38"/>
      <c r="Z76" s="38"/>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row>
    <row r="77" spans="2:58" x14ac:dyDescent="0.25">
      <c r="B77" s="8"/>
      <c r="C77" s="2"/>
      <c r="D77" s="2"/>
      <c r="E77" s="2"/>
      <c r="F77" s="318"/>
      <c r="G77" s="2"/>
      <c r="H77" s="2"/>
      <c r="I77" s="2"/>
      <c r="J77" s="2"/>
      <c r="K77" s="2"/>
      <c r="L77" s="2"/>
      <c r="M77" s="2"/>
      <c r="N77" s="2"/>
      <c r="O77" s="2"/>
      <c r="P77" s="2"/>
      <c r="Q77" s="9"/>
      <c r="R77" s="416"/>
      <c r="S77" s="417"/>
      <c r="T77" s="417"/>
      <c r="U77" s="417"/>
      <c r="V77" s="417"/>
      <c r="W77" s="38"/>
      <c r="X77" s="38"/>
      <c r="Y77" s="38"/>
      <c r="Z77" s="38"/>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row>
    <row r="78" spans="2:58" x14ac:dyDescent="0.25">
      <c r="B78" s="8"/>
      <c r="C78" s="2"/>
      <c r="D78" s="2"/>
      <c r="E78" s="2"/>
      <c r="F78" s="318"/>
      <c r="G78" s="2"/>
      <c r="H78" s="2"/>
      <c r="I78" s="2"/>
      <c r="J78" s="2"/>
      <c r="K78" s="2"/>
      <c r="L78" s="2"/>
      <c r="M78" s="2"/>
      <c r="N78" s="2"/>
      <c r="O78" s="2"/>
      <c r="P78" s="2"/>
      <c r="Q78" s="9"/>
      <c r="R78" s="38"/>
      <c r="S78" s="38"/>
      <c r="T78" s="38"/>
      <c r="U78" s="38"/>
      <c r="V78" s="38"/>
      <c r="W78" s="38"/>
      <c r="X78" s="38"/>
      <c r="Y78" s="38"/>
      <c r="Z78" s="38"/>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row>
    <row r="79" spans="2:58" x14ac:dyDescent="0.25">
      <c r="B79" s="8"/>
      <c r="C79" s="2"/>
      <c r="D79" s="2"/>
      <c r="E79" s="2"/>
      <c r="F79" s="318" t="s">
        <v>313</v>
      </c>
      <c r="G79" s="2"/>
      <c r="H79" s="397" t="s">
        <v>314</v>
      </c>
      <c r="I79" s="398"/>
      <c r="J79" s="398"/>
      <c r="K79" s="398"/>
      <c r="L79" s="399"/>
      <c r="M79" s="16">
        <f>IF(ISNA(VLOOKUP(Choix_caissonisolé,Zone_caissonisolé,1,0)),"",VLOOKUP(Choix_caissonisolé,Zone_caissonisolé,2,0))</f>
        <v>0</v>
      </c>
      <c r="N79" s="16" t="str">
        <f>IF(ISNA(VLOOKUP(Choix_caissonisolé,Zone_caissonisolé,1,0)),"",VLOOKUP(Choix_caissonisolé,Zone_caissonisolé,3,0))</f>
        <v xml:space="preserve">Air neuf </v>
      </c>
      <c r="O79" s="16" t="str">
        <f>IF(ISNA(VLOOKUP(Choix_caissonisolé,Zone_caissonisolé,1,0)),"",VLOOKUP(Choix_caissonisolé,Zone_caissonisolé,4,0))</f>
        <v>Rejet</v>
      </c>
      <c r="P79" s="16" t="str">
        <f>IF(ISNA(VLOOKUP(Choix_caissonisolé,Zone_caissonisolé,1,0)),"",VLOOKUP(Choix_caissonisolé,Zone_caissonisolé,6,0))</f>
        <v>dans l'enveloppe isolée</v>
      </c>
      <c r="Q79" s="58"/>
      <c r="R79" s="16"/>
      <c r="S79" s="16" t="s">
        <v>314</v>
      </c>
      <c r="T79" s="16"/>
      <c r="U79" s="16" t="s">
        <v>316</v>
      </c>
      <c r="V79" s="16" t="s">
        <v>317</v>
      </c>
      <c r="W79" s="16"/>
      <c r="X79" s="16" t="s">
        <v>321</v>
      </c>
      <c r="Y79" s="38"/>
      <c r="Z79" s="38"/>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row>
    <row r="80" spans="2:58" x14ac:dyDescent="0.25">
      <c r="B80" s="8"/>
      <c r="C80" s="2"/>
      <c r="D80" s="2"/>
      <c r="E80" s="2"/>
      <c r="F80" s="318"/>
      <c r="G80" s="2"/>
      <c r="H80" s="2"/>
      <c r="I80" s="2"/>
      <c r="J80" s="2"/>
      <c r="K80" s="2"/>
      <c r="L80" s="2"/>
      <c r="M80" s="2"/>
      <c r="N80" s="2"/>
      <c r="O80" s="2"/>
      <c r="P80" s="2"/>
      <c r="Q80" s="9"/>
      <c r="R80" s="16"/>
      <c r="S80" s="16" t="s">
        <v>315</v>
      </c>
      <c r="T80" s="16"/>
      <c r="U80" s="16" t="s">
        <v>318</v>
      </c>
      <c r="V80" s="16" t="s">
        <v>319</v>
      </c>
      <c r="W80" s="16"/>
      <c r="X80" s="16" t="s">
        <v>320</v>
      </c>
      <c r="Y80" s="38"/>
      <c r="Z80" s="38"/>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row>
    <row r="81" spans="2:58" x14ac:dyDescent="0.25">
      <c r="B81" s="8"/>
      <c r="C81" s="2"/>
      <c r="D81" s="2"/>
      <c r="E81" s="2"/>
      <c r="F81" s="318"/>
      <c r="G81" s="2"/>
      <c r="H81" s="2"/>
      <c r="I81" s="2"/>
      <c r="J81" s="318" t="str">
        <f>CONCATENATE("Quelle longueur de conduits ",N79," ",P79," ?")</f>
        <v>Quelle longueur de conduits Air neuf  dans l'enveloppe isolée ?</v>
      </c>
      <c r="K81" s="2"/>
      <c r="L81" s="154">
        <v>2</v>
      </c>
      <c r="M81" s="11" t="s">
        <v>87</v>
      </c>
      <c r="N81" s="2"/>
      <c r="O81" s="2"/>
      <c r="P81" s="2"/>
      <c r="Q81" s="9"/>
      <c r="R81" s="38"/>
      <c r="S81" s="38"/>
      <c r="T81" s="38"/>
      <c r="U81" s="38"/>
      <c r="V81" s="38"/>
      <c r="W81" s="38"/>
      <c r="X81" s="38"/>
      <c r="Y81" s="38"/>
      <c r="Z81" s="38"/>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row>
    <row r="82" spans="2:58" x14ac:dyDescent="0.25">
      <c r="B82" s="8"/>
      <c r="C82" s="2"/>
      <c r="D82" s="2"/>
      <c r="E82" s="2"/>
      <c r="F82" s="318"/>
      <c r="G82" s="2"/>
      <c r="H82" s="2"/>
      <c r="I82" s="2"/>
      <c r="J82" s="318" t="str">
        <f>CONCATENATE("Quelle longueur de conduits ",O79," ",P79," ?")</f>
        <v>Quelle longueur de conduits Rejet dans l'enveloppe isolée ?</v>
      </c>
      <c r="K82" s="2"/>
      <c r="L82" s="154">
        <v>1.5</v>
      </c>
      <c r="M82" s="11" t="s">
        <v>87</v>
      </c>
      <c r="N82" s="2"/>
      <c r="O82" s="2"/>
      <c r="P82" s="2"/>
      <c r="Q82" s="9"/>
      <c r="R82" s="38"/>
      <c r="S82" s="38"/>
      <c r="T82" s="38"/>
      <c r="U82" s="38"/>
      <c r="V82" s="38"/>
      <c r="W82" s="38"/>
      <c r="X82" s="38"/>
      <c r="Y82" s="38"/>
      <c r="Z82" s="38"/>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row>
    <row r="83" spans="2:58" x14ac:dyDescent="0.25">
      <c r="B83" s="8"/>
      <c r="C83" s="2"/>
      <c r="D83" s="2"/>
      <c r="E83" s="2"/>
      <c r="F83" s="318"/>
      <c r="G83" s="2"/>
      <c r="H83" s="2"/>
      <c r="I83" s="2"/>
      <c r="J83" s="2"/>
      <c r="K83" s="2"/>
      <c r="L83" s="2"/>
      <c r="M83" s="2"/>
      <c r="N83" s="2"/>
      <c r="O83" s="2"/>
      <c r="P83" s="2"/>
      <c r="Q83" s="9"/>
      <c r="R83" s="38"/>
      <c r="S83" s="38"/>
      <c r="T83" s="38"/>
      <c r="U83" s="38"/>
      <c r="V83" s="38"/>
      <c r="W83" s="38"/>
      <c r="X83" s="38"/>
      <c r="Y83" s="38"/>
      <c r="Z83" s="38"/>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row>
    <row r="84" spans="2:58" x14ac:dyDescent="0.25">
      <c r="B84" s="8"/>
      <c r="C84" s="2"/>
      <c r="D84" s="2"/>
      <c r="E84" s="2"/>
      <c r="F84" s="318"/>
      <c r="G84" s="2"/>
      <c r="H84" s="2"/>
      <c r="I84" s="2"/>
      <c r="J84" s="318" t="s">
        <v>322</v>
      </c>
      <c r="K84" s="2"/>
      <c r="L84" s="154">
        <v>25</v>
      </c>
      <c r="M84" s="11" t="s">
        <v>323</v>
      </c>
      <c r="N84" s="2"/>
      <c r="O84" s="2"/>
      <c r="P84" s="2"/>
      <c r="Q84" s="9"/>
      <c r="R84" s="38"/>
      <c r="S84" s="38"/>
      <c r="T84" s="38"/>
      <c r="U84" s="38"/>
      <c r="V84" s="38"/>
      <c r="W84" s="38"/>
      <c r="X84" s="38"/>
      <c r="Y84" s="38"/>
      <c r="Z84" s="38"/>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row>
    <row r="85" spans="2:58" x14ac:dyDescent="0.25">
      <c r="B85" s="8"/>
      <c r="C85" s="2"/>
      <c r="D85" s="2"/>
      <c r="E85" s="2"/>
      <c r="F85" s="318"/>
      <c r="G85" s="2"/>
      <c r="H85" s="2"/>
      <c r="I85" s="2"/>
      <c r="J85" s="2"/>
      <c r="K85" s="2"/>
      <c r="L85" s="2"/>
      <c r="M85" s="2"/>
      <c r="N85" s="2"/>
      <c r="O85" s="2"/>
      <c r="P85" s="2"/>
      <c r="Q85" s="9"/>
      <c r="R85" s="38"/>
      <c r="S85" s="38"/>
      <c r="T85" s="38"/>
      <c r="U85" s="38"/>
      <c r="V85" s="38"/>
      <c r="W85" s="38"/>
      <c r="X85" s="38"/>
      <c r="Y85" s="38"/>
      <c r="Z85" s="38"/>
      <c r="AA85" s="44"/>
      <c r="AB85" s="44"/>
      <c r="AC85" s="44"/>
      <c r="AD85" s="44"/>
      <c r="AE85" s="44"/>
      <c r="AF85" s="44"/>
      <c r="AG85" s="44"/>
      <c r="AH85" s="44"/>
      <c r="AI85" s="44"/>
      <c r="AJ85" s="44"/>
      <c r="AK85" s="44"/>
      <c r="AL85" s="44"/>
      <c r="AM85" s="44"/>
      <c r="AN85" s="44"/>
      <c r="AO85" s="44"/>
      <c r="AP85" s="44"/>
      <c r="AQ85" s="44"/>
      <c r="AR85" s="44"/>
      <c r="AS85" s="44"/>
      <c r="AT85" s="44"/>
      <c r="AU85" s="44"/>
      <c r="AV85" s="44"/>
      <c r="AW85" s="44"/>
      <c r="AX85" s="44"/>
      <c r="AY85" s="44"/>
      <c r="AZ85" s="44"/>
      <c r="BA85" s="44"/>
      <c r="BB85" s="44"/>
      <c r="BC85" s="44"/>
      <c r="BD85" s="44"/>
      <c r="BE85" s="44"/>
      <c r="BF85" s="44"/>
    </row>
    <row r="86" spans="2:58" x14ac:dyDescent="0.25">
      <c r="B86" s="8"/>
      <c r="C86" s="2"/>
      <c r="D86" s="2"/>
      <c r="E86" s="2"/>
      <c r="F86" s="318"/>
      <c r="G86" s="2"/>
      <c r="H86" s="2"/>
      <c r="I86" s="2"/>
      <c r="J86" s="318" t="s">
        <v>576</v>
      </c>
      <c r="K86" s="2"/>
      <c r="L86" s="155"/>
      <c r="M86" s="2"/>
      <c r="N86" s="2"/>
      <c r="O86" s="2"/>
      <c r="P86" s="2"/>
      <c r="Q86" s="9"/>
      <c r="R86" s="38"/>
      <c r="S86" s="38"/>
      <c r="T86" s="38"/>
      <c r="U86" s="38"/>
      <c r="V86" s="38"/>
      <c r="W86" s="38"/>
      <c r="X86" s="38"/>
      <c r="Y86" s="38"/>
      <c r="Z86" s="38"/>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c r="BE86" s="44"/>
      <c r="BF86" s="44"/>
    </row>
    <row r="87" spans="2:58" x14ac:dyDescent="0.25">
      <c r="B87" s="8"/>
      <c r="C87" s="2"/>
      <c r="D87" s="2"/>
      <c r="E87" s="2"/>
      <c r="F87" s="318"/>
      <c r="G87" s="2"/>
      <c r="H87" s="2"/>
      <c r="I87" s="2"/>
      <c r="J87" s="315" t="s">
        <v>575</v>
      </c>
      <c r="K87" s="2"/>
      <c r="L87" s="2"/>
      <c r="M87" s="2"/>
      <c r="N87" s="2"/>
      <c r="O87" s="2"/>
      <c r="P87" s="2"/>
      <c r="Q87" s="9"/>
      <c r="R87" s="16"/>
      <c r="S87" s="16"/>
      <c r="T87" s="38"/>
      <c r="U87" s="38"/>
      <c r="V87" s="38"/>
      <c r="W87" s="38"/>
      <c r="X87" s="38"/>
      <c r="Y87" s="38"/>
      <c r="Z87" s="38"/>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row>
    <row r="88" spans="2:58" x14ac:dyDescent="0.25">
      <c r="B88" s="8"/>
      <c r="C88" s="2"/>
      <c r="D88" s="2"/>
      <c r="E88" s="2"/>
      <c r="F88" s="318"/>
      <c r="G88" s="2"/>
      <c r="H88" s="2"/>
      <c r="I88" s="2"/>
      <c r="J88" s="2"/>
      <c r="K88" s="2"/>
      <c r="L88" s="2"/>
      <c r="M88" s="2"/>
      <c r="N88" s="2"/>
      <c r="O88" s="2"/>
      <c r="P88" s="2"/>
      <c r="Q88" s="9"/>
      <c r="R88" s="16"/>
      <c r="S88" s="16"/>
      <c r="T88" s="38"/>
      <c r="U88" s="38"/>
      <c r="V88" s="38"/>
      <c r="W88" s="38"/>
      <c r="X88" s="38"/>
      <c r="Y88" s="38"/>
      <c r="Z88" s="38"/>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row>
    <row r="89" spans="2:58" ht="15.75" customHeight="1" x14ac:dyDescent="0.25">
      <c r="B89" s="8"/>
      <c r="C89" s="2"/>
      <c r="D89" s="422" t="s">
        <v>613</v>
      </c>
      <c r="E89" s="422"/>
      <c r="F89" s="422"/>
      <c r="G89" s="422"/>
      <c r="H89" s="422"/>
      <c r="I89" s="422"/>
      <c r="J89" s="422"/>
      <c r="K89" s="422"/>
      <c r="L89" s="422"/>
      <c r="M89" s="2"/>
      <c r="N89" s="2"/>
      <c r="O89" s="2"/>
      <c r="P89" s="2"/>
      <c r="Q89" s="9"/>
      <c r="R89" s="16"/>
      <c r="S89" s="16"/>
      <c r="T89" s="38"/>
      <c r="U89" s="38"/>
      <c r="V89" s="38"/>
      <c r="W89" s="38"/>
      <c r="X89" s="38"/>
      <c r="Y89" s="38"/>
      <c r="Z89" s="38"/>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row>
    <row r="90" spans="2:58" x14ac:dyDescent="0.25">
      <c r="C90" s="2"/>
      <c r="D90" s="422"/>
      <c r="E90" s="422"/>
      <c r="F90" s="422"/>
      <c r="G90" s="422"/>
      <c r="H90" s="422"/>
      <c r="I90" s="422"/>
      <c r="J90" s="422"/>
      <c r="K90" s="422"/>
      <c r="L90" s="422"/>
      <c r="M90" s="2"/>
      <c r="N90" s="2"/>
      <c r="O90" s="2"/>
      <c r="P90" s="2"/>
      <c r="Q90" s="9"/>
      <c r="R90" s="16"/>
      <c r="S90" s="16"/>
      <c r="T90" s="38"/>
      <c r="U90" s="38"/>
      <c r="V90" s="38"/>
      <c r="W90" s="38"/>
      <c r="X90" s="38"/>
      <c r="Y90" s="38"/>
      <c r="Z90" s="38"/>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row>
    <row r="91" spans="2:58" x14ac:dyDescent="0.25">
      <c r="B91" s="8"/>
      <c r="C91" s="2"/>
      <c r="D91" s="422"/>
      <c r="E91" s="422"/>
      <c r="F91" s="422"/>
      <c r="G91" s="422"/>
      <c r="H91" s="422"/>
      <c r="I91" s="422"/>
      <c r="J91" s="422"/>
      <c r="K91" s="422"/>
      <c r="L91" s="422"/>
      <c r="M91" s="2"/>
      <c r="N91" s="2"/>
      <c r="O91" s="2"/>
      <c r="P91" s="2"/>
      <c r="Q91" s="9"/>
      <c r="R91" s="16"/>
      <c r="S91" s="16"/>
      <c r="T91" s="38"/>
      <c r="U91" s="38"/>
      <c r="V91" s="38"/>
      <c r="W91" s="38"/>
      <c r="X91" s="38"/>
      <c r="Y91" s="38"/>
      <c r="Z91" s="38"/>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row>
    <row r="92" spans="2:58" x14ac:dyDescent="0.25">
      <c r="B92" s="8"/>
      <c r="C92" s="2"/>
      <c r="D92" s="422"/>
      <c r="E92" s="422"/>
      <c r="F92" s="422"/>
      <c r="G92" s="422"/>
      <c r="H92" s="422"/>
      <c r="I92" s="422"/>
      <c r="J92" s="422"/>
      <c r="K92" s="422"/>
      <c r="L92" s="422"/>
      <c r="M92" s="2"/>
      <c r="N92" s="2"/>
      <c r="O92" s="2"/>
      <c r="P92" s="2"/>
      <c r="Q92" s="9"/>
      <c r="R92" s="16"/>
      <c r="S92" s="16"/>
      <c r="T92" s="38"/>
      <c r="U92" s="38"/>
      <c r="V92" s="38"/>
      <c r="W92" s="38"/>
      <c r="X92" s="38"/>
      <c r="Y92" s="38"/>
      <c r="Z92" s="38"/>
      <c r="AA92" s="44"/>
      <c r="AB92" s="44"/>
      <c r="AC92" s="44"/>
      <c r="AD92" s="44"/>
      <c r="AE92" s="44"/>
      <c r="AF92" s="44"/>
      <c r="AG92" s="44"/>
      <c r="AH92" s="44"/>
      <c r="AI92" s="44"/>
      <c r="AJ92" s="44"/>
      <c r="AK92" s="44"/>
      <c r="AL92" s="44"/>
      <c r="AM92" s="44"/>
      <c r="AN92" s="44"/>
      <c r="AO92" s="44"/>
      <c r="AP92" s="44"/>
      <c r="AQ92" s="44"/>
      <c r="AR92" s="44"/>
      <c r="AS92" s="44"/>
      <c r="AT92" s="44"/>
      <c r="AU92" s="44"/>
      <c r="AV92" s="44"/>
      <c r="AW92" s="44"/>
      <c r="AX92" s="44"/>
      <c r="AY92" s="44"/>
      <c r="AZ92" s="44"/>
      <c r="BA92" s="44"/>
      <c r="BB92" s="44"/>
      <c r="BC92" s="44"/>
      <c r="BD92" s="44"/>
      <c r="BE92" s="44"/>
      <c r="BF92" s="44"/>
    </row>
    <row r="93" spans="2:58" x14ac:dyDescent="0.25">
      <c r="B93" s="8"/>
      <c r="C93" s="2"/>
      <c r="D93" s="422"/>
      <c r="E93" s="422"/>
      <c r="F93" s="422"/>
      <c r="G93" s="422"/>
      <c r="H93" s="422"/>
      <c r="I93" s="422"/>
      <c r="J93" s="422"/>
      <c r="K93" s="422"/>
      <c r="L93" s="422"/>
      <c r="M93" s="2"/>
      <c r="N93" s="2"/>
      <c r="O93" s="2"/>
      <c r="P93" s="2"/>
      <c r="Q93" s="9"/>
      <c r="R93" s="16"/>
      <c r="S93" s="16"/>
      <c r="T93" s="38" t="s">
        <v>525</v>
      </c>
      <c r="U93" s="38"/>
      <c r="V93" s="38"/>
      <c r="W93" s="38"/>
      <c r="X93" s="38"/>
      <c r="Y93" s="38"/>
      <c r="Z93" s="38"/>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row>
    <row r="94" spans="2:58" x14ac:dyDescent="0.25">
      <c r="B94" s="8"/>
      <c r="C94" s="2"/>
      <c r="D94" s="422"/>
      <c r="E94" s="422"/>
      <c r="F94" s="422"/>
      <c r="G94" s="422"/>
      <c r="H94" s="422"/>
      <c r="I94" s="422"/>
      <c r="J94" s="422"/>
      <c r="K94" s="422"/>
      <c r="L94" s="422"/>
      <c r="M94" s="2"/>
      <c r="N94" s="2"/>
      <c r="O94" s="2"/>
      <c r="P94" s="2"/>
      <c r="Q94" s="9"/>
      <c r="R94" s="16"/>
      <c r="S94" s="16"/>
      <c r="T94" s="38" t="s">
        <v>317</v>
      </c>
      <c r="U94" s="38"/>
      <c r="V94" s="38"/>
      <c r="W94" s="38"/>
      <c r="X94" s="38"/>
      <c r="Y94" s="38"/>
      <c r="Z94" s="38"/>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row>
    <row r="95" spans="2:58" x14ac:dyDescent="0.25">
      <c r="B95" s="8"/>
      <c r="C95" s="2"/>
      <c r="D95" s="2"/>
      <c r="E95" s="2"/>
      <c r="F95" s="2"/>
      <c r="G95" s="2"/>
      <c r="H95" s="2"/>
      <c r="I95" s="2"/>
      <c r="J95" s="2"/>
      <c r="K95" s="2"/>
      <c r="L95" s="2"/>
      <c r="M95" s="2"/>
      <c r="N95" s="2"/>
      <c r="O95" s="2"/>
      <c r="P95" s="2"/>
      <c r="Q95" s="9"/>
      <c r="R95" s="16"/>
      <c r="S95" s="16"/>
      <c r="T95" s="38"/>
      <c r="U95" s="38"/>
      <c r="V95" s="38"/>
      <c r="W95" s="38"/>
      <c r="X95" s="38"/>
      <c r="Y95" s="38"/>
      <c r="Z95" s="38"/>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row>
    <row r="96" spans="2:58" ht="15.75" hidden="1" customHeight="1" x14ac:dyDescent="0.25">
      <c r="B96" s="8"/>
      <c r="C96" s="2"/>
      <c r="D96" s="2"/>
      <c r="E96" s="2"/>
      <c r="F96" s="2"/>
      <c r="G96" s="2"/>
      <c r="H96" s="2"/>
      <c r="I96" s="2"/>
      <c r="J96" s="2"/>
      <c r="K96" s="2"/>
      <c r="L96" s="68"/>
      <c r="M96" s="2"/>
      <c r="N96" s="2"/>
      <c r="O96" s="2"/>
      <c r="P96" s="2"/>
      <c r="Q96" s="9"/>
      <c r="R96" s="16"/>
      <c r="S96" s="16"/>
      <c r="T96" s="38"/>
      <c r="U96" s="38"/>
      <c r="V96" s="38"/>
      <c r="W96" s="38"/>
      <c r="X96" s="38"/>
      <c r="Y96" s="38"/>
      <c r="Z96" s="38"/>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row>
    <row r="97" spans="2:58" ht="26.25" hidden="1" customHeight="1" x14ac:dyDescent="0.4">
      <c r="B97" s="30"/>
      <c r="C97" s="2"/>
      <c r="D97" s="2"/>
      <c r="E97" s="2"/>
      <c r="F97" s="2"/>
      <c r="G97" s="33"/>
      <c r="H97" s="33"/>
      <c r="I97" s="33"/>
      <c r="J97" s="33"/>
      <c r="K97" s="33"/>
      <c r="L97" s="2"/>
      <c r="M97" s="2"/>
      <c r="N97" s="2"/>
      <c r="O97" s="2"/>
      <c r="P97" s="2"/>
      <c r="Q97" s="9"/>
      <c r="R97" s="16"/>
      <c r="U97" s="38"/>
      <c r="V97" s="38"/>
      <c r="W97" s="38"/>
      <c r="X97" s="38"/>
      <c r="Y97" s="38"/>
      <c r="Z97" s="38"/>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row>
    <row r="98" spans="2:58" ht="15.75" hidden="1" customHeight="1" x14ac:dyDescent="0.25">
      <c r="B98" s="8"/>
      <c r="C98" s="2"/>
      <c r="D98" s="2"/>
      <c r="E98" s="2"/>
      <c r="F98" s="2"/>
      <c r="G98" s="2"/>
      <c r="H98" s="52"/>
      <c r="I98" s="2"/>
      <c r="J98" s="2"/>
      <c r="K98" s="2"/>
      <c r="L98" s="2"/>
      <c r="M98" s="16" t="e">
        <f>IF(#REF!='Base données'!D87,0,L86)</f>
        <v>#REF!</v>
      </c>
      <c r="N98" s="2"/>
      <c r="O98" s="2"/>
      <c r="P98" s="2"/>
      <c r="Q98" s="9"/>
      <c r="R98" s="16"/>
      <c r="U98" s="38"/>
      <c r="V98" s="38"/>
      <c r="W98" s="38"/>
      <c r="X98" s="38"/>
      <c r="Y98" s="38"/>
      <c r="Z98" s="38"/>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row>
    <row r="99" spans="2:58" ht="15.75" hidden="1" customHeight="1" x14ac:dyDescent="0.25">
      <c r="B99" s="8"/>
      <c r="C99" s="2"/>
      <c r="D99" s="2"/>
      <c r="E99" s="2"/>
      <c r="F99" s="2"/>
      <c r="G99" s="319"/>
      <c r="H99" s="319"/>
      <c r="I99" s="319"/>
      <c r="J99" s="2"/>
      <c r="K99" s="319"/>
      <c r="L99" s="2"/>
      <c r="M99" s="2"/>
      <c r="N99" s="2"/>
      <c r="O99" s="2"/>
      <c r="P99" s="2"/>
      <c r="Q99" s="9"/>
      <c r="R99" s="57" t="s">
        <v>105</v>
      </c>
      <c r="U99" s="38"/>
      <c r="V99" s="38"/>
      <c r="W99" s="38"/>
      <c r="X99" s="38"/>
      <c r="Y99" s="38"/>
      <c r="Z99" s="38"/>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row>
    <row r="100" spans="2:58" ht="26.25" hidden="1" customHeight="1" x14ac:dyDescent="0.4">
      <c r="B100" s="30"/>
      <c r="C100" s="38"/>
      <c r="D100" s="38"/>
      <c r="E100" s="38"/>
      <c r="F100" s="38"/>
      <c r="G100" s="38"/>
      <c r="H100" s="38"/>
      <c r="I100" s="38"/>
      <c r="J100" s="38"/>
      <c r="K100" s="38"/>
      <c r="L100" s="38"/>
      <c r="M100" s="38"/>
      <c r="N100" s="38"/>
      <c r="O100" s="38"/>
      <c r="P100" s="38"/>
      <c r="Q100" s="103"/>
      <c r="R100" s="136" t="s">
        <v>101</v>
      </c>
      <c r="S100" s="16"/>
      <c r="T100" s="38"/>
      <c r="U100" s="38"/>
      <c r="V100" s="38"/>
      <c r="W100" s="38"/>
      <c r="X100" s="38"/>
      <c r="Y100" s="38"/>
      <c r="Z100" s="38"/>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row>
    <row r="101" spans="2:58" ht="15.75" hidden="1" customHeight="1" x14ac:dyDescent="0.25">
      <c r="B101" s="8"/>
      <c r="C101" s="38"/>
      <c r="D101" s="38"/>
      <c r="E101" s="38"/>
      <c r="F101" s="38"/>
      <c r="G101" s="38"/>
      <c r="H101" s="38"/>
      <c r="I101" s="2"/>
      <c r="J101" s="38"/>
      <c r="K101" s="38"/>
      <c r="L101" s="38"/>
      <c r="M101" s="38"/>
      <c r="N101" s="38"/>
      <c r="O101" s="38"/>
      <c r="P101" s="2"/>
      <c r="Q101" s="103"/>
      <c r="R101" s="16"/>
      <c r="S101" s="16"/>
      <c r="T101" s="38"/>
      <c r="U101" s="38"/>
      <c r="V101" s="38"/>
      <c r="W101" s="38"/>
      <c r="X101" s="38"/>
      <c r="Y101" s="38"/>
      <c r="Z101" s="38"/>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row>
    <row r="102" spans="2:58" ht="15.75" hidden="1" customHeight="1" x14ac:dyDescent="0.25">
      <c r="B102" s="8"/>
      <c r="C102" s="2"/>
      <c r="D102" s="2"/>
      <c r="E102" s="2"/>
      <c r="F102" s="2"/>
      <c r="G102" s="2"/>
      <c r="H102" s="2"/>
      <c r="I102" s="2"/>
      <c r="J102" s="2"/>
      <c r="K102" s="2"/>
      <c r="L102" s="2"/>
      <c r="M102" s="2"/>
      <c r="N102" s="2"/>
      <c r="O102" s="2"/>
      <c r="P102" s="2"/>
      <c r="Q102" s="9"/>
      <c r="R102" s="16"/>
      <c r="S102" s="16"/>
      <c r="T102" s="38"/>
      <c r="U102" s="38"/>
      <c r="V102" s="38"/>
      <c r="W102" s="38"/>
      <c r="X102" s="38"/>
      <c r="Y102" s="38"/>
      <c r="Z102" s="38"/>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row>
    <row r="103" spans="2:58" ht="15.75" hidden="1" customHeight="1" x14ac:dyDescent="0.25">
      <c r="B103" s="8"/>
      <c r="C103" s="2"/>
      <c r="D103" s="2"/>
      <c r="E103" s="2"/>
      <c r="F103" s="2"/>
      <c r="G103" s="2"/>
      <c r="H103" s="2"/>
      <c r="I103" s="2"/>
      <c r="J103" s="2"/>
      <c r="K103" s="2"/>
      <c r="L103" s="2"/>
      <c r="M103" s="2"/>
      <c r="N103" s="2"/>
      <c r="O103" s="2"/>
      <c r="P103" s="2"/>
      <c r="Q103" s="9"/>
      <c r="R103" s="16"/>
      <c r="S103" s="16"/>
      <c r="T103" s="38"/>
      <c r="U103" s="38"/>
      <c r="V103" s="38"/>
      <c r="W103" s="38"/>
      <c r="X103" s="38"/>
      <c r="Y103" s="38"/>
      <c r="Z103" s="38"/>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row>
    <row r="104" spans="2:58" ht="16.5" thickBot="1" x14ac:dyDescent="0.3">
      <c r="B104" s="12"/>
      <c r="C104" s="13"/>
      <c r="D104" s="13"/>
      <c r="E104" s="13"/>
      <c r="F104" s="13"/>
      <c r="G104" s="13"/>
      <c r="H104" s="13"/>
      <c r="I104" s="13"/>
      <c r="J104" s="13"/>
      <c r="K104" s="13"/>
      <c r="L104" s="13"/>
      <c r="M104" s="13"/>
      <c r="N104" s="13"/>
      <c r="O104" s="13"/>
      <c r="P104" s="13"/>
      <c r="Q104" s="14"/>
      <c r="R104" s="16"/>
      <c r="S104" s="16"/>
      <c r="T104" s="38"/>
      <c r="U104" s="38"/>
      <c r="V104" s="38"/>
      <c r="W104" s="38"/>
      <c r="X104" s="38"/>
      <c r="Y104" s="38"/>
      <c r="Z104" s="38"/>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row>
    <row r="105" spans="2:58" ht="16.5" thickBot="1" x14ac:dyDescent="0.3">
      <c r="R105" s="16"/>
      <c r="S105" s="16"/>
      <c r="T105" s="38"/>
      <c r="U105" s="38"/>
      <c r="V105" s="38"/>
      <c r="W105" s="38"/>
      <c r="X105" s="38"/>
      <c r="Y105" s="38"/>
      <c r="Z105" s="38"/>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row>
    <row r="106" spans="2:58" ht="34.5" thickBot="1" x14ac:dyDescent="0.3">
      <c r="B106" s="373"/>
      <c r="C106" s="487" t="s">
        <v>633</v>
      </c>
      <c r="D106" s="370"/>
      <c r="E106" s="371"/>
      <c r="F106" s="371"/>
      <c r="G106" s="371"/>
      <c r="H106" s="371"/>
      <c r="I106" s="371"/>
      <c r="J106" s="371"/>
      <c r="K106" s="371"/>
      <c r="L106" s="371"/>
      <c r="M106" s="371"/>
      <c r="N106" s="371"/>
      <c r="O106" s="371"/>
      <c r="P106" s="371"/>
      <c r="Q106" s="372"/>
      <c r="R106" s="16"/>
      <c r="S106" s="16"/>
      <c r="T106" s="38"/>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row>
    <row r="107" spans="2:58" ht="18" customHeight="1" x14ac:dyDescent="0.4">
      <c r="B107" s="30"/>
      <c r="C107" s="2"/>
      <c r="D107" s="2"/>
      <c r="E107" s="2"/>
      <c r="F107" s="2"/>
      <c r="G107" s="2"/>
      <c r="H107" s="2"/>
      <c r="I107" s="2"/>
      <c r="J107" s="2"/>
      <c r="K107" s="2"/>
      <c r="L107" s="3"/>
      <c r="M107" s="2"/>
      <c r="N107" s="2"/>
      <c r="O107" s="2"/>
      <c r="P107" s="2"/>
      <c r="Q107" s="9"/>
      <c r="R107" s="16"/>
      <c r="S107" s="16"/>
      <c r="T107" s="38"/>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row>
    <row r="108" spans="2:58" ht="24.75" customHeight="1" x14ac:dyDescent="0.25">
      <c r="B108" s="320" t="s">
        <v>614</v>
      </c>
      <c r="C108" s="321"/>
      <c r="D108" s="322"/>
      <c r="E108" s="322"/>
      <c r="F108" s="322"/>
      <c r="G108" s="322"/>
      <c r="H108" s="322"/>
      <c r="I108" s="323"/>
      <c r="J108" s="323"/>
      <c r="K108" s="323"/>
      <c r="L108" s="323"/>
      <c r="M108" s="323"/>
      <c r="N108" s="322"/>
      <c r="O108" s="323"/>
      <c r="P108" s="323"/>
      <c r="Q108" s="323"/>
      <c r="R108" s="16"/>
      <c r="S108" s="16"/>
      <c r="T108" s="38"/>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c r="AY108" s="44"/>
      <c r="AZ108" s="44"/>
      <c r="BA108" s="44"/>
      <c r="BB108" s="44"/>
      <c r="BC108" s="44"/>
      <c r="BD108" s="44"/>
      <c r="BE108" s="44"/>
      <c r="BF108" s="44"/>
    </row>
    <row r="109" spans="2:58" ht="18" customHeight="1" x14ac:dyDescent="0.4">
      <c r="B109" s="349"/>
      <c r="C109" s="341"/>
      <c r="D109" s="341"/>
      <c r="E109" s="341"/>
      <c r="F109" s="341"/>
      <c r="G109" s="341"/>
      <c r="H109" s="341"/>
      <c r="I109" s="341"/>
      <c r="J109" s="341"/>
      <c r="K109" s="341"/>
      <c r="L109" s="350"/>
      <c r="M109" s="341"/>
      <c r="N109" s="341"/>
      <c r="O109" s="341"/>
      <c r="P109" s="341"/>
      <c r="Q109" s="351"/>
      <c r="R109" s="16"/>
      <c r="S109" s="16"/>
      <c r="T109" s="38"/>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c r="AY109" s="44"/>
      <c r="AZ109" s="44"/>
      <c r="BA109" s="44"/>
      <c r="BB109" s="44"/>
      <c r="BC109" s="44"/>
      <c r="BD109" s="44"/>
      <c r="BE109" s="44"/>
      <c r="BF109" s="44"/>
    </row>
    <row r="110" spans="2:58" ht="18" customHeight="1" x14ac:dyDescent="0.4">
      <c r="B110" s="349"/>
      <c r="C110" s="341"/>
      <c r="D110" s="341"/>
      <c r="E110" s="341"/>
      <c r="F110" s="341"/>
      <c r="G110" s="341"/>
      <c r="H110" s="352" t="s">
        <v>615</v>
      </c>
      <c r="I110" s="341"/>
      <c r="J110" s="328" t="str">
        <f>Choix_caisson</f>
        <v>Renovent Exellent 300</v>
      </c>
      <c r="K110" s="341"/>
      <c r="L110" s="353" t="s">
        <v>616</v>
      </c>
      <c r="M110" s="328" t="str">
        <f>H52</f>
        <v>Brink</v>
      </c>
      <c r="N110" s="341"/>
      <c r="O110" s="341"/>
      <c r="P110" s="341"/>
      <c r="Q110" s="351"/>
      <c r="R110" s="16"/>
      <c r="S110" s="16"/>
      <c r="T110" s="38"/>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c r="AY110" s="44"/>
      <c r="AZ110" s="44"/>
      <c r="BA110" s="44"/>
      <c r="BB110" s="44"/>
      <c r="BC110" s="44"/>
      <c r="BD110" s="44"/>
      <c r="BE110" s="44"/>
      <c r="BF110" s="44"/>
    </row>
    <row r="111" spans="2:58" ht="18" customHeight="1" x14ac:dyDescent="0.4">
      <c r="B111" s="349"/>
      <c r="C111" s="341"/>
      <c r="D111" s="341"/>
      <c r="E111" s="341"/>
      <c r="F111" s="341"/>
      <c r="G111" s="341"/>
      <c r="H111" s="341"/>
      <c r="I111" s="341"/>
      <c r="J111" s="341"/>
      <c r="K111" s="341"/>
      <c r="L111" s="353"/>
      <c r="M111" s="341"/>
      <c r="N111" s="341"/>
      <c r="O111" s="341"/>
      <c r="P111" s="341"/>
      <c r="Q111" s="351"/>
      <c r="R111" s="16"/>
      <c r="S111" s="16"/>
      <c r="T111" s="38"/>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row>
    <row r="112" spans="2:58" ht="18" customHeight="1" x14ac:dyDescent="0.4">
      <c r="B112" s="349"/>
      <c r="C112" s="341"/>
      <c r="D112" s="341"/>
      <c r="E112" s="341"/>
      <c r="F112" s="341"/>
      <c r="G112" s="341"/>
      <c r="H112" s="354" t="s">
        <v>64</v>
      </c>
      <c r="I112" s="355"/>
      <c r="J112" s="328">
        <f>C134</f>
        <v>0.28999999999999998</v>
      </c>
      <c r="K112" s="356" t="s">
        <v>47</v>
      </c>
      <c r="L112" s="353"/>
      <c r="M112" s="341"/>
      <c r="N112" s="341"/>
      <c r="O112" s="341"/>
      <c r="P112" s="341"/>
      <c r="Q112" s="351"/>
      <c r="R112" s="16"/>
      <c r="S112" s="16"/>
      <c r="T112" s="38"/>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c r="AY112" s="44"/>
      <c r="AZ112" s="44"/>
      <c r="BA112" s="44"/>
      <c r="BB112" s="44"/>
      <c r="BC112" s="44"/>
      <c r="BD112" s="44"/>
      <c r="BE112" s="44"/>
      <c r="BF112" s="44"/>
    </row>
    <row r="113" spans="2:58" x14ac:dyDescent="0.25">
      <c r="B113" s="340"/>
      <c r="C113" s="341"/>
      <c r="D113" s="341"/>
      <c r="E113" s="341"/>
      <c r="F113" s="341"/>
      <c r="G113" s="341"/>
      <c r="H113" s="354" t="s">
        <v>58</v>
      </c>
      <c r="I113" s="355"/>
      <c r="J113" s="329">
        <f>E134</f>
        <v>0.9</v>
      </c>
      <c r="K113" s="356" t="s">
        <v>43</v>
      </c>
      <c r="L113" s="357"/>
      <c r="M113" s="341"/>
      <c r="N113" s="341"/>
      <c r="O113" s="341"/>
      <c r="P113" s="341"/>
      <c r="Q113" s="351"/>
      <c r="T113" s="38"/>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c r="AY113" s="44"/>
      <c r="AZ113" s="44"/>
      <c r="BA113" s="44"/>
      <c r="BB113" s="44"/>
      <c r="BC113" s="44"/>
      <c r="BD113" s="44"/>
      <c r="BE113" s="44"/>
      <c r="BF113" s="44"/>
    </row>
    <row r="114" spans="2:58" x14ac:dyDescent="0.25">
      <c r="B114" s="340"/>
      <c r="C114" s="341"/>
      <c r="D114" s="341"/>
      <c r="E114" s="341"/>
      <c r="F114" s="341"/>
      <c r="G114" s="341"/>
      <c r="H114" s="354" t="s">
        <v>58</v>
      </c>
      <c r="I114" s="355"/>
      <c r="J114" s="329">
        <f>F134</f>
        <v>0.84</v>
      </c>
      <c r="K114" s="356" t="s">
        <v>53</v>
      </c>
      <c r="L114" s="357"/>
      <c r="M114" s="341"/>
      <c r="N114" s="341"/>
      <c r="O114" s="341"/>
      <c r="P114" s="341"/>
      <c r="Q114" s="351"/>
      <c r="T114" s="38"/>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c r="AY114" s="44"/>
      <c r="AZ114" s="44"/>
      <c r="BA114" s="44"/>
      <c r="BB114" s="44"/>
      <c r="BC114" s="44"/>
      <c r="BD114" s="44"/>
      <c r="BE114" s="44"/>
      <c r="BF114" s="44"/>
    </row>
    <row r="115" spans="2:58" x14ac:dyDescent="0.25">
      <c r="B115" s="340"/>
      <c r="C115" s="341"/>
      <c r="D115" s="341"/>
      <c r="E115" s="341"/>
      <c r="F115" s="341"/>
      <c r="G115" s="341"/>
      <c r="H115" s="354"/>
      <c r="I115" s="355"/>
      <c r="J115" s="355"/>
      <c r="K115" s="358"/>
      <c r="L115" s="357"/>
      <c r="M115" s="341"/>
      <c r="N115" s="341"/>
      <c r="O115" s="341"/>
      <c r="P115" s="341"/>
      <c r="Q115" s="351"/>
      <c r="T115" s="38"/>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c r="AY115" s="44"/>
      <c r="AZ115" s="44"/>
      <c r="BA115" s="44"/>
      <c r="BB115" s="44"/>
      <c r="BC115" s="44"/>
      <c r="BD115" s="44"/>
      <c r="BE115" s="44"/>
      <c r="BF115" s="44"/>
    </row>
    <row r="116" spans="2:58" x14ac:dyDescent="0.25">
      <c r="B116" s="340"/>
      <c r="C116" s="341"/>
      <c r="D116" s="341"/>
      <c r="E116" s="341"/>
      <c r="F116" s="341"/>
      <c r="G116" s="341"/>
      <c r="H116" s="354" t="s">
        <v>249</v>
      </c>
      <c r="I116" s="355"/>
      <c r="J116" s="330">
        <f>H134</f>
        <v>1.54E-2</v>
      </c>
      <c r="K116" s="356" t="s">
        <v>204</v>
      </c>
      <c r="L116" s="357"/>
      <c r="M116" s="341"/>
      <c r="N116" s="341"/>
      <c r="O116" s="341"/>
      <c r="P116" s="341"/>
      <c r="Q116" s="351"/>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c r="AY116" s="44"/>
      <c r="AZ116" s="44"/>
      <c r="BA116" s="44"/>
      <c r="BB116" s="44"/>
      <c r="BC116" s="44"/>
      <c r="BD116" s="44"/>
      <c r="BE116" s="44"/>
      <c r="BF116" s="44"/>
    </row>
    <row r="117" spans="2:58" x14ac:dyDescent="0.25">
      <c r="B117" s="340"/>
      <c r="C117" s="341"/>
      <c r="D117" s="341"/>
      <c r="E117" s="341"/>
      <c r="F117" s="341"/>
      <c r="G117" s="341"/>
      <c r="H117" s="354" t="s">
        <v>250</v>
      </c>
      <c r="I117" s="355"/>
      <c r="J117" s="330">
        <f>J134</f>
        <v>1.6500000000000001E-2</v>
      </c>
      <c r="K117" s="356" t="s">
        <v>204</v>
      </c>
      <c r="L117" s="341"/>
      <c r="M117" s="341"/>
      <c r="N117" s="341"/>
      <c r="O117" s="341"/>
      <c r="P117" s="341"/>
      <c r="Q117" s="351"/>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c r="AY117" s="44"/>
      <c r="AZ117" s="44"/>
      <c r="BA117" s="44"/>
      <c r="BB117" s="44"/>
      <c r="BC117" s="44"/>
      <c r="BD117" s="44"/>
      <c r="BE117" s="44"/>
      <c r="BF117" s="44"/>
    </row>
    <row r="118" spans="2:58" x14ac:dyDescent="0.25">
      <c r="B118" s="340"/>
      <c r="C118" s="341"/>
      <c r="D118" s="341"/>
      <c r="E118" s="341"/>
      <c r="F118" s="341"/>
      <c r="G118" s="341"/>
      <c r="H118" s="355"/>
      <c r="I118" s="355"/>
      <c r="J118" s="355"/>
      <c r="K118" s="358"/>
      <c r="L118" s="341"/>
      <c r="M118" s="341"/>
      <c r="N118" s="341"/>
      <c r="O118" s="341"/>
      <c r="P118" s="341"/>
      <c r="Q118" s="351"/>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c r="AY118" s="44"/>
      <c r="AZ118" s="44"/>
      <c r="BA118" s="44"/>
      <c r="BB118" s="44"/>
      <c r="BC118" s="44"/>
      <c r="BD118" s="44"/>
      <c r="BE118" s="44"/>
      <c r="BF118" s="44"/>
    </row>
    <row r="119" spans="2:58" x14ac:dyDescent="0.25">
      <c r="B119" s="340"/>
      <c r="C119" s="341"/>
      <c r="D119" s="341"/>
      <c r="E119" s="341"/>
      <c r="F119" s="341"/>
      <c r="G119" s="341"/>
      <c r="H119" s="354" t="s">
        <v>184</v>
      </c>
      <c r="I119" s="355"/>
      <c r="J119" s="328">
        <f>L134</f>
        <v>54</v>
      </c>
      <c r="K119" s="356" t="s">
        <v>203</v>
      </c>
      <c r="L119" s="341"/>
      <c r="M119" s="341"/>
      <c r="N119" s="341"/>
      <c r="O119" s="341"/>
      <c r="P119" s="341"/>
      <c r="Q119" s="351"/>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c r="AY119" s="44"/>
      <c r="AZ119" s="44"/>
      <c r="BA119" s="44"/>
      <c r="BB119" s="44"/>
      <c r="BC119" s="44"/>
      <c r="BD119" s="44"/>
      <c r="BE119" s="44"/>
      <c r="BF119" s="44"/>
    </row>
    <row r="120" spans="2:58" x14ac:dyDescent="0.25">
      <c r="B120" s="340"/>
      <c r="C120" s="341"/>
      <c r="D120" s="341"/>
      <c r="E120" s="341"/>
      <c r="F120" s="341"/>
      <c r="G120" s="341"/>
      <c r="H120" s="354" t="s">
        <v>186</v>
      </c>
      <c r="I120" s="355"/>
      <c r="J120" s="328">
        <f>M134</f>
        <v>45.1</v>
      </c>
      <c r="K120" s="356" t="s">
        <v>203</v>
      </c>
      <c r="L120" s="341"/>
      <c r="M120" s="341"/>
      <c r="N120" s="341"/>
      <c r="O120" s="341"/>
      <c r="P120" s="341"/>
      <c r="Q120" s="351"/>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c r="AY120" s="44"/>
      <c r="AZ120" s="44"/>
      <c r="BA120" s="44"/>
      <c r="BB120" s="44"/>
      <c r="BC120" s="44"/>
      <c r="BD120" s="44"/>
      <c r="BE120" s="44"/>
      <c r="BF120" s="44"/>
    </row>
    <row r="121" spans="2:58" x14ac:dyDescent="0.25">
      <c r="B121" s="340"/>
      <c r="C121" s="341"/>
      <c r="D121" s="341"/>
      <c r="E121" s="341"/>
      <c r="F121" s="341"/>
      <c r="G121" s="341"/>
      <c r="H121" s="354" t="s">
        <v>185</v>
      </c>
      <c r="I121" s="355"/>
      <c r="J121" s="328">
        <f>O134</f>
        <v>36</v>
      </c>
      <c r="K121" s="356" t="s">
        <v>203</v>
      </c>
      <c r="L121" s="341"/>
      <c r="M121" s="341"/>
      <c r="N121" s="341"/>
      <c r="O121" s="341"/>
      <c r="P121" s="341"/>
      <c r="Q121" s="351"/>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c r="AR121" s="44"/>
      <c r="AS121" s="44"/>
      <c r="AT121" s="44"/>
      <c r="AU121" s="44"/>
      <c r="AV121" s="44"/>
      <c r="AW121" s="44"/>
      <c r="AX121" s="44"/>
      <c r="AY121" s="44"/>
      <c r="AZ121" s="44"/>
      <c r="BA121" s="44"/>
      <c r="BB121" s="44"/>
      <c r="BC121" s="44"/>
      <c r="BD121" s="44"/>
      <c r="BE121" s="44"/>
      <c r="BF121" s="44"/>
    </row>
    <row r="122" spans="2:58" x14ac:dyDescent="0.25">
      <c r="B122" s="340"/>
      <c r="C122" s="341"/>
      <c r="D122" s="341"/>
      <c r="E122" s="341"/>
      <c r="F122" s="341"/>
      <c r="G122" s="341"/>
      <c r="H122" s="354" t="s">
        <v>242</v>
      </c>
      <c r="I122" s="355"/>
      <c r="J122" s="328">
        <f>P134</f>
        <v>3210.6619999999998</v>
      </c>
      <c r="K122" s="356" t="s">
        <v>243</v>
      </c>
      <c r="L122" s="341"/>
      <c r="M122" s="341"/>
      <c r="N122" s="341"/>
      <c r="O122" s="341"/>
      <c r="P122" s="341"/>
      <c r="Q122" s="351"/>
      <c r="T122" s="44"/>
      <c r="U122" s="44"/>
      <c r="V122" s="44"/>
      <c r="W122" s="44"/>
      <c r="X122" s="44"/>
      <c r="Y122" s="44"/>
      <c r="Z122" s="44"/>
      <c r="AA122" s="44"/>
      <c r="AB122" s="44"/>
      <c r="AC122" s="44"/>
      <c r="AD122" s="44"/>
      <c r="AE122" s="44"/>
      <c r="AF122" s="44"/>
      <c r="AG122" s="44"/>
      <c r="AH122" s="44"/>
      <c r="AI122" s="44"/>
      <c r="AJ122" s="44"/>
      <c r="AK122" s="44"/>
      <c r="AL122" s="44"/>
      <c r="AM122" s="44"/>
      <c r="AN122" s="44"/>
      <c r="AO122" s="44"/>
      <c r="AP122" s="44"/>
      <c r="AQ122" s="44"/>
      <c r="AR122" s="44"/>
      <c r="AS122" s="44"/>
      <c r="AT122" s="44"/>
      <c r="AU122" s="44"/>
      <c r="AV122" s="44"/>
      <c r="AW122" s="44"/>
      <c r="AX122" s="44"/>
      <c r="AY122" s="44"/>
      <c r="AZ122" s="44"/>
      <c r="BA122" s="44"/>
      <c r="BB122" s="44"/>
      <c r="BC122" s="44"/>
      <c r="BD122" s="44"/>
      <c r="BE122" s="44"/>
      <c r="BF122" s="44"/>
    </row>
    <row r="123" spans="2:58" x14ac:dyDescent="0.25">
      <c r="B123" s="340"/>
      <c r="C123" s="341"/>
      <c r="D123" s="341"/>
      <c r="E123" s="341"/>
      <c r="F123" s="341"/>
      <c r="G123" s="341"/>
      <c r="H123" s="341"/>
      <c r="I123" s="341"/>
      <c r="J123" s="341"/>
      <c r="K123" s="341"/>
      <c r="L123" s="341"/>
      <c r="M123" s="341"/>
      <c r="N123" s="341"/>
      <c r="O123" s="341"/>
      <c r="P123" s="341"/>
      <c r="Q123" s="351"/>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c r="AR123" s="44"/>
      <c r="AS123" s="44"/>
      <c r="AT123" s="44"/>
      <c r="AU123" s="44"/>
      <c r="AV123" s="44"/>
      <c r="AW123" s="44"/>
      <c r="AX123" s="44"/>
      <c r="AY123" s="44"/>
      <c r="AZ123" s="44"/>
      <c r="BA123" s="44"/>
      <c r="BB123" s="44"/>
      <c r="BC123" s="44"/>
      <c r="BD123" s="44"/>
      <c r="BE123" s="44"/>
      <c r="BF123" s="44"/>
    </row>
    <row r="124" spans="2:58" x14ac:dyDescent="0.25">
      <c r="B124" s="8"/>
      <c r="C124" s="2"/>
      <c r="D124" s="2"/>
      <c r="E124" s="2"/>
      <c r="F124" s="2"/>
      <c r="G124" s="2"/>
      <c r="H124" s="2"/>
      <c r="I124" s="2"/>
      <c r="J124" s="2"/>
      <c r="K124" s="2"/>
      <c r="L124" s="2"/>
      <c r="M124" s="2"/>
      <c r="N124" s="2"/>
      <c r="O124" s="2"/>
      <c r="P124" s="2"/>
      <c r="Q124" s="9"/>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c r="AR124" s="44"/>
      <c r="AS124" s="44"/>
      <c r="AT124" s="44"/>
      <c r="AU124" s="44"/>
      <c r="AV124" s="44"/>
      <c r="AW124" s="44"/>
      <c r="AX124" s="44"/>
      <c r="AY124" s="44"/>
      <c r="AZ124" s="44"/>
      <c r="BA124" s="44"/>
      <c r="BB124" s="44"/>
      <c r="BC124" s="44"/>
      <c r="BD124" s="44"/>
      <c r="BE124" s="44"/>
      <c r="BF124" s="44"/>
    </row>
    <row r="125" spans="2:58" x14ac:dyDescent="0.25">
      <c r="B125" s="8"/>
      <c r="C125" s="2"/>
      <c r="D125" s="2"/>
      <c r="E125" s="2"/>
      <c r="F125" s="2"/>
      <c r="G125" s="2"/>
      <c r="H125" s="2"/>
      <c r="I125" s="2"/>
      <c r="J125" s="2"/>
      <c r="K125" s="2"/>
      <c r="L125" s="2"/>
      <c r="M125" s="2"/>
      <c r="N125" s="2"/>
      <c r="O125" s="2"/>
      <c r="P125" s="2"/>
      <c r="Q125" s="9"/>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c r="AR125" s="44"/>
      <c r="AS125" s="44"/>
      <c r="AT125" s="44"/>
      <c r="AU125" s="44"/>
      <c r="AV125" s="44"/>
      <c r="AW125" s="44"/>
      <c r="AX125" s="44"/>
      <c r="AY125" s="44"/>
      <c r="AZ125" s="44"/>
      <c r="BA125" s="44"/>
      <c r="BB125" s="44"/>
      <c r="BC125" s="44"/>
      <c r="BD125" s="44"/>
      <c r="BE125" s="44"/>
      <c r="BF125" s="44"/>
    </row>
    <row r="126" spans="2:58" ht="20.25" x14ac:dyDescent="0.25">
      <c r="B126" s="320" t="s">
        <v>617</v>
      </c>
      <c r="C126" s="321"/>
      <c r="D126" s="322"/>
      <c r="E126" s="322"/>
      <c r="F126" s="322"/>
      <c r="G126" s="322"/>
      <c r="H126" s="322"/>
      <c r="I126" s="323"/>
      <c r="J126" s="323"/>
      <c r="K126" s="323"/>
      <c r="L126" s="323"/>
      <c r="M126" s="323"/>
      <c r="N126" s="322"/>
      <c r="O126" s="323"/>
      <c r="P126" s="323"/>
      <c r="Q126" s="323"/>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c r="AT126" s="44"/>
      <c r="AU126" s="44"/>
      <c r="AV126" s="44"/>
      <c r="AW126" s="44"/>
      <c r="AX126" s="44"/>
      <c r="AY126" s="44"/>
      <c r="AZ126" s="44"/>
      <c r="BA126" s="44"/>
      <c r="BB126" s="44"/>
      <c r="BC126" s="44"/>
      <c r="BD126" s="44"/>
      <c r="BE126" s="44"/>
      <c r="BF126" s="44"/>
    </row>
    <row r="127" spans="2:58" x14ac:dyDescent="0.25">
      <c r="B127" s="8"/>
      <c r="C127" s="2"/>
      <c r="D127" s="2"/>
      <c r="E127" s="2"/>
      <c r="F127" s="2"/>
      <c r="G127" s="2"/>
      <c r="H127" s="2"/>
      <c r="I127" s="2"/>
      <c r="J127" s="2"/>
      <c r="K127" s="2"/>
      <c r="L127" s="2"/>
      <c r="M127" s="2"/>
      <c r="N127" s="2"/>
      <c r="O127" s="2"/>
      <c r="P127" s="2"/>
      <c r="Q127" s="9"/>
      <c r="T127" s="44"/>
      <c r="U127" s="44"/>
      <c r="V127" s="44"/>
      <c r="W127" s="44"/>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c r="AX127" s="44"/>
      <c r="AY127" s="44"/>
      <c r="AZ127" s="44"/>
      <c r="BA127" s="44"/>
      <c r="BB127" s="44"/>
      <c r="BC127" s="44"/>
      <c r="BD127" s="44"/>
      <c r="BE127" s="44"/>
      <c r="BF127" s="44"/>
    </row>
    <row r="128" spans="2:58" ht="62.25" customHeight="1" x14ac:dyDescent="0.25">
      <c r="B128" s="8"/>
      <c r="C128" s="462" t="s">
        <v>618</v>
      </c>
      <c r="D128" s="462"/>
      <c r="E128" s="462"/>
      <c r="F128" s="462"/>
      <c r="G128" s="462"/>
      <c r="H128" s="462"/>
      <c r="I128" s="462"/>
      <c r="J128" s="462"/>
      <c r="K128" s="462"/>
      <c r="L128" s="462"/>
      <c r="M128" s="462"/>
      <c r="N128" s="462"/>
      <c r="O128" s="462"/>
      <c r="P128" s="462"/>
      <c r="Q128" s="9"/>
      <c r="T128" s="44"/>
      <c r="U128" s="44"/>
      <c r="V128" s="44"/>
      <c r="W128" s="44"/>
      <c r="X128" s="44"/>
      <c r="Y128" s="44"/>
      <c r="Z128" s="44"/>
      <c r="AA128" s="44"/>
      <c r="AB128" s="44"/>
      <c r="AC128" s="44"/>
      <c r="AD128" s="44"/>
      <c r="AE128" s="44"/>
      <c r="AF128" s="44"/>
      <c r="AG128" s="44"/>
      <c r="AH128" s="44"/>
      <c r="AI128" s="44"/>
      <c r="AJ128" s="44"/>
      <c r="AK128" s="44"/>
      <c r="AL128" s="44"/>
      <c r="AM128" s="44"/>
      <c r="AN128" s="44"/>
      <c r="AO128" s="44"/>
      <c r="AP128" s="44"/>
      <c r="AQ128" s="44"/>
      <c r="AR128" s="44"/>
      <c r="AS128" s="44"/>
      <c r="AT128" s="44"/>
      <c r="AU128" s="44"/>
      <c r="AV128" s="44"/>
      <c r="AW128" s="44"/>
      <c r="AX128" s="44"/>
      <c r="AY128" s="44"/>
      <c r="AZ128" s="44"/>
      <c r="BA128" s="44"/>
      <c r="BB128" s="44"/>
      <c r="BC128" s="44"/>
      <c r="BD128" s="44"/>
      <c r="BE128" s="44"/>
      <c r="BF128" s="44"/>
    </row>
    <row r="129" spans="2:58" x14ac:dyDescent="0.25">
      <c r="B129" s="8"/>
      <c r="C129" s="2"/>
      <c r="D129" s="2"/>
      <c r="E129" s="2"/>
      <c r="F129" s="2"/>
      <c r="G129" s="2"/>
      <c r="H129" s="2"/>
      <c r="I129" s="2"/>
      <c r="J129" s="2"/>
      <c r="K129" s="2"/>
      <c r="L129" s="2"/>
      <c r="M129" s="2"/>
      <c r="N129" s="2"/>
      <c r="O129" s="2"/>
      <c r="P129" s="2"/>
      <c r="Q129" s="9"/>
      <c r="T129" s="44"/>
      <c r="U129" s="44"/>
      <c r="V129" s="44"/>
      <c r="W129" s="44"/>
      <c r="X129" s="44"/>
      <c r="Y129" s="44"/>
      <c r="Z129" s="44"/>
      <c r="AA129" s="44"/>
      <c r="AB129" s="44"/>
      <c r="AC129" s="44"/>
      <c r="AD129" s="44"/>
      <c r="AE129" s="44"/>
      <c r="AF129" s="44"/>
      <c r="AG129" s="44"/>
      <c r="AH129" s="44"/>
      <c r="AI129" s="44"/>
      <c r="AJ129" s="44"/>
      <c r="AK129" s="44"/>
      <c r="AL129" s="44"/>
      <c r="AM129" s="44"/>
      <c r="AN129" s="44"/>
      <c r="AO129" s="44"/>
      <c r="AP129" s="44"/>
      <c r="AQ129" s="44"/>
      <c r="AR129" s="44"/>
      <c r="AS129" s="44"/>
      <c r="AT129" s="44"/>
      <c r="AU129" s="44"/>
      <c r="AV129" s="44"/>
      <c r="AW129" s="44"/>
      <c r="AX129" s="44"/>
      <c r="AY129" s="44"/>
      <c r="AZ129" s="44"/>
      <c r="BA129" s="44"/>
      <c r="BB129" s="44"/>
      <c r="BC129" s="44"/>
      <c r="BD129" s="44"/>
      <c r="BE129" s="44"/>
      <c r="BF129" s="44"/>
    </row>
    <row r="130" spans="2:58" hidden="1" x14ac:dyDescent="0.25">
      <c r="B130" s="8"/>
      <c r="C130" s="2"/>
      <c r="D130" s="2"/>
      <c r="E130" s="2"/>
      <c r="F130" s="2"/>
      <c r="G130" s="2"/>
      <c r="H130" s="2"/>
      <c r="I130" s="2"/>
      <c r="J130" s="2"/>
      <c r="K130" s="2"/>
      <c r="L130" s="2"/>
      <c r="M130" s="2"/>
      <c r="N130" s="2"/>
      <c r="O130" s="2"/>
      <c r="P130" s="2"/>
      <c r="Q130" s="9"/>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c r="AX130" s="44"/>
      <c r="AY130" s="44"/>
      <c r="AZ130" s="44"/>
      <c r="BA130" s="44"/>
      <c r="BB130" s="44"/>
      <c r="BC130" s="44"/>
      <c r="BD130" s="44"/>
      <c r="BE130" s="44"/>
      <c r="BF130" s="44"/>
    </row>
    <row r="131" spans="2:58" hidden="1" x14ac:dyDescent="0.25">
      <c r="B131" s="8"/>
      <c r="C131" s="2"/>
      <c r="D131" s="34"/>
      <c r="E131" s="2"/>
      <c r="F131" s="2"/>
      <c r="G131" s="34"/>
      <c r="H131" s="2"/>
      <c r="I131" s="2"/>
      <c r="J131" s="2"/>
      <c r="K131" s="34"/>
      <c r="L131" s="2"/>
      <c r="M131" s="2"/>
      <c r="N131" s="2"/>
      <c r="O131" s="2"/>
      <c r="P131" s="2"/>
      <c r="Q131" s="9"/>
      <c r="T131" s="44"/>
      <c r="U131" s="44"/>
      <c r="V131" s="44"/>
      <c r="W131" s="44"/>
      <c r="X131" s="44"/>
      <c r="Y131" s="44"/>
      <c r="Z131" s="44"/>
      <c r="AA131" s="44"/>
      <c r="AB131" s="44"/>
      <c r="AC131" s="44"/>
      <c r="AD131" s="44"/>
      <c r="AE131" s="44"/>
      <c r="AF131" s="44"/>
      <c r="AG131" s="44"/>
      <c r="AH131" s="44"/>
      <c r="AI131" s="44"/>
      <c r="AJ131" s="44"/>
      <c r="AK131" s="44"/>
      <c r="AL131" s="44"/>
      <c r="AM131" s="44"/>
      <c r="AN131" s="44"/>
      <c r="AO131" s="44"/>
      <c r="AP131" s="44"/>
      <c r="AQ131" s="44"/>
      <c r="AR131" s="44"/>
      <c r="AS131" s="44"/>
      <c r="AT131" s="44"/>
      <c r="AU131" s="44"/>
      <c r="AV131" s="44"/>
      <c r="AW131" s="44"/>
      <c r="AX131" s="44"/>
      <c r="AY131" s="44"/>
      <c r="AZ131" s="44"/>
      <c r="BA131" s="44"/>
      <c r="BB131" s="44"/>
      <c r="BC131" s="44"/>
      <c r="BD131" s="44"/>
      <c r="BE131" s="44"/>
      <c r="BF131" s="44"/>
    </row>
    <row r="132" spans="2:58" hidden="1" x14ac:dyDescent="0.25">
      <c r="B132" s="8"/>
      <c r="C132" s="2"/>
      <c r="D132" s="36"/>
      <c r="E132" s="2"/>
      <c r="F132" s="2"/>
      <c r="G132" s="2"/>
      <c r="H132" s="2"/>
      <c r="I132" s="51"/>
      <c r="J132" s="2"/>
      <c r="K132" s="2"/>
      <c r="L132" s="2"/>
      <c r="M132" s="2"/>
      <c r="N132" s="2"/>
      <c r="O132" s="2"/>
      <c r="P132" s="2"/>
      <c r="Q132" s="9"/>
      <c r="T132" s="44"/>
      <c r="U132" s="44"/>
      <c r="V132" s="44"/>
      <c r="W132" s="44"/>
      <c r="X132" s="44"/>
      <c r="Y132" s="44"/>
      <c r="Z132" s="44"/>
      <c r="AA132" s="44"/>
      <c r="AB132" s="44"/>
      <c r="AC132" s="44"/>
      <c r="AD132" s="44"/>
      <c r="AE132" s="44"/>
      <c r="AF132" s="44"/>
      <c r="AG132" s="44"/>
      <c r="AH132" s="44"/>
      <c r="AI132" s="44"/>
      <c r="AJ132" s="44"/>
      <c r="AK132" s="44"/>
      <c r="AL132" s="44"/>
      <c r="AM132" s="44"/>
      <c r="AN132" s="44"/>
      <c r="AO132" s="44"/>
      <c r="AP132" s="44"/>
      <c r="AQ132" s="44"/>
      <c r="AR132" s="44"/>
      <c r="AS132" s="44"/>
      <c r="AT132" s="44"/>
      <c r="AU132" s="44"/>
      <c r="AV132" s="44"/>
      <c r="AW132" s="44"/>
      <c r="AX132" s="44"/>
      <c r="AY132" s="44"/>
      <c r="AZ132" s="44"/>
      <c r="BA132" s="44"/>
      <c r="BB132" s="44"/>
      <c r="BC132" s="44"/>
      <c r="BD132" s="44"/>
      <c r="BE132" s="44"/>
      <c r="BF132" s="44"/>
    </row>
    <row r="133" spans="2:58" hidden="1" x14ac:dyDescent="0.25">
      <c r="B133" s="8"/>
      <c r="C133" s="2"/>
      <c r="D133" s="36"/>
      <c r="E133" s="2"/>
      <c r="F133" s="2"/>
      <c r="G133" s="2"/>
      <c r="H133" s="2"/>
      <c r="I133" s="2"/>
      <c r="J133" s="2"/>
      <c r="K133" s="2"/>
      <c r="L133" s="2"/>
      <c r="M133" s="2"/>
      <c r="N133" s="36"/>
      <c r="O133" s="2"/>
      <c r="P133" s="2"/>
      <c r="Q133" s="9"/>
      <c r="T133" s="44"/>
      <c r="U133" s="44"/>
      <c r="V133" s="44"/>
      <c r="W133" s="44"/>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c r="AU133" s="44"/>
      <c r="AV133" s="44"/>
      <c r="AW133" s="44"/>
      <c r="AX133" s="44"/>
      <c r="AY133" s="44"/>
      <c r="AZ133" s="44"/>
      <c r="BA133" s="44"/>
      <c r="BB133" s="44"/>
      <c r="BC133" s="44"/>
      <c r="BD133" s="44"/>
      <c r="BE133" s="44"/>
      <c r="BF133" s="44"/>
    </row>
    <row r="134" spans="2:58" hidden="1" x14ac:dyDescent="0.25">
      <c r="B134" s="8"/>
      <c r="C134" s="16">
        <f>IF(ISNA(VLOOKUP(Choix_caisson,Selection_Zone,1,0)),"",VLOOKUP(Choix_caisson,Selection_Zone,5,0))</f>
        <v>0.28999999999999998</v>
      </c>
      <c r="D134" s="16"/>
      <c r="E134" s="16">
        <f>IF(ISNA(VLOOKUP(Choix_caisson,Selection_Zone,1,0)),"",VLOOKUP(Choix_caisson,Selection_Zone,6,0))</f>
        <v>0.9</v>
      </c>
      <c r="F134" s="16">
        <f>IF(ISNA(VLOOKUP(Choix_caisson,Selection_Zone,1,0)),"",VLOOKUP(Choix_caisson,Selection_Zone,7,0))</f>
        <v>0.84</v>
      </c>
      <c r="G134" s="16"/>
      <c r="H134" s="16">
        <f>IF(ISNA(VLOOKUP(Choix_caisson,Selection_Zone,1,0)),"",VLOOKUP(Choix_caisson,Selection_Zone,8,0))</f>
        <v>1.54E-2</v>
      </c>
      <c r="I134" s="16"/>
      <c r="J134" s="16">
        <f>IF(ISNA(VLOOKUP(Choix_caisson,Selection_Zone,1,0)),"",VLOOKUP(Choix_caisson,Selection_Zone,9,0))</f>
        <v>1.6500000000000001E-2</v>
      </c>
      <c r="K134" s="16"/>
      <c r="L134" s="16">
        <f>IF(ISNA(VLOOKUP(Choix_caisson,Selection_Zone,1,0)),"",VLOOKUP(Choix_caisson,Selection_Zone,10,0))</f>
        <v>54</v>
      </c>
      <c r="M134" s="16">
        <f>IF(ISNA(VLOOKUP(Choix_caisson,Selection_Zone,1,0)),"",VLOOKUP(Choix_caisson,Selection_Zone,11,0))</f>
        <v>45.1</v>
      </c>
      <c r="N134" s="16"/>
      <c r="O134" s="16">
        <f>IF(ISNA(VLOOKUP(Choix_caisson,Selection_Zone,1,0)),"",VLOOKUP(Choix_caisson,Selection_Zone,12,0))</f>
        <v>36</v>
      </c>
      <c r="P134" s="16">
        <f>IF(ISNA(VLOOKUP(Choix_caisson,Selection_Zone,1,0)),"",VLOOKUP(Choix_caisson,Selection_Zone,13,0))</f>
        <v>3210.6619999999998</v>
      </c>
      <c r="Q134" s="9"/>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c r="AR134" s="44"/>
      <c r="AS134" s="44"/>
      <c r="AT134" s="44"/>
      <c r="AU134" s="44"/>
      <c r="AV134" s="44"/>
      <c r="AW134" s="44"/>
      <c r="AX134" s="44"/>
      <c r="AY134" s="44"/>
      <c r="AZ134" s="44"/>
      <c r="BA134" s="44"/>
      <c r="BB134" s="44"/>
      <c r="BC134" s="44"/>
      <c r="BD134" s="44"/>
      <c r="BE134" s="44"/>
      <c r="BF134" s="44"/>
    </row>
    <row r="135" spans="2:58" ht="26.25" hidden="1" x14ac:dyDescent="0.4">
      <c r="B135" s="30"/>
      <c r="C135" s="2"/>
      <c r="D135" s="2"/>
      <c r="E135" s="2"/>
      <c r="F135" s="2"/>
      <c r="G135" s="2"/>
      <c r="H135" s="2"/>
      <c r="I135" s="2"/>
      <c r="J135" s="2"/>
      <c r="K135" s="2"/>
      <c r="L135" s="3"/>
      <c r="M135" s="2"/>
      <c r="N135" s="2"/>
      <c r="O135" s="2"/>
      <c r="P135" s="2"/>
      <c r="Q135" s="9"/>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c r="AR135" s="44"/>
      <c r="AS135" s="44"/>
      <c r="AT135" s="44"/>
      <c r="AU135" s="44"/>
      <c r="AV135" s="44"/>
      <c r="AW135" s="44"/>
      <c r="AX135" s="44"/>
      <c r="AY135" s="44"/>
      <c r="AZ135" s="44"/>
      <c r="BA135" s="44"/>
      <c r="BB135" s="44"/>
      <c r="BC135" s="44"/>
      <c r="BD135" s="44"/>
      <c r="BE135" s="44"/>
      <c r="BF135" s="44"/>
    </row>
    <row r="136" spans="2:58" ht="26.25" hidden="1" x14ac:dyDescent="0.4">
      <c r="B136" s="30"/>
      <c r="C136" s="2"/>
      <c r="D136" s="2"/>
      <c r="E136" s="2"/>
      <c r="F136" s="2"/>
      <c r="G136" s="2"/>
      <c r="H136" s="2"/>
      <c r="I136" s="2"/>
      <c r="J136" s="2"/>
      <c r="K136" s="2"/>
      <c r="L136" s="3"/>
      <c r="M136" s="2"/>
      <c r="N136" s="2"/>
      <c r="O136" s="2"/>
      <c r="P136" s="2"/>
      <c r="Q136" s="9"/>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c r="AU136" s="44"/>
      <c r="AV136" s="44"/>
      <c r="AW136" s="44"/>
      <c r="AX136" s="44"/>
      <c r="AY136" s="44"/>
      <c r="AZ136" s="44"/>
      <c r="BA136" s="44"/>
      <c r="BB136" s="44"/>
      <c r="BC136" s="44"/>
      <c r="BD136" s="44"/>
      <c r="BE136" s="44"/>
      <c r="BF136" s="44"/>
    </row>
    <row r="137" spans="2:58" ht="26.25" hidden="1" x14ac:dyDescent="0.4">
      <c r="B137" s="30"/>
      <c r="C137" s="2"/>
      <c r="D137" s="2"/>
      <c r="E137" s="2"/>
      <c r="F137" s="2"/>
      <c r="G137" s="2"/>
      <c r="H137" s="2"/>
      <c r="I137" s="2"/>
      <c r="J137" s="2"/>
      <c r="K137" s="2"/>
      <c r="L137" s="3"/>
      <c r="M137" s="2"/>
      <c r="N137" s="2"/>
      <c r="O137" s="2"/>
      <c r="P137" s="2"/>
      <c r="Q137" s="9"/>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c r="AR137" s="44"/>
      <c r="AS137" s="44"/>
      <c r="AT137" s="44"/>
      <c r="AU137" s="44"/>
      <c r="AV137" s="44"/>
      <c r="AW137" s="44"/>
      <c r="AX137" s="44"/>
      <c r="AY137" s="44"/>
      <c r="AZ137" s="44"/>
      <c r="BA137" s="44"/>
      <c r="BB137" s="44"/>
      <c r="BC137" s="44"/>
      <c r="BD137" s="44"/>
      <c r="BE137" s="44"/>
      <c r="BF137" s="44"/>
    </row>
    <row r="138" spans="2:58" ht="26.25" hidden="1" x14ac:dyDescent="0.4">
      <c r="B138" s="30"/>
      <c r="C138" s="2"/>
      <c r="D138" s="2"/>
      <c r="E138" s="2"/>
      <c r="F138" s="2"/>
      <c r="G138" s="2"/>
      <c r="H138" s="2"/>
      <c r="I138" s="2"/>
      <c r="J138" s="2"/>
      <c r="K138" s="2"/>
      <c r="L138" s="3"/>
      <c r="M138" s="2"/>
      <c r="N138" s="2"/>
      <c r="O138" s="2"/>
      <c r="P138" s="2"/>
      <c r="Q138" s="9"/>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c r="AR138" s="44"/>
      <c r="AS138" s="44"/>
      <c r="AT138" s="44"/>
      <c r="AU138" s="44"/>
      <c r="AV138" s="44"/>
      <c r="AW138" s="44"/>
      <c r="AX138" s="44"/>
      <c r="AY138" s="44"/>
      <c r="AZ138" s="44"/>
      <c r="BA138" s="44"/>
      <c r="BB138" s="44"/>
      <c r="BC138" s="44"/>
      <c r="BD138" s="44"/>
      <c r="BE138" s="44"/>
      <c r="BF138" s="44"/>
    </row>
    <row r="139" spans="2:58" ht="26.25" hidden="1" x14ac:dyDescent="0.4">
      <c r="B139" s="30"/>
      <c r="C139" s="2"/>
      <c r="D139" s="2"/>
      <c r="E139" s="2"/>
      <c r="F139" s="2"/>
      <c r="G139" s="2"/>
      <c r="H139" s="2"/>
      <c r="I139" s="2"/>
      <c r="J139" s="2"/>
      <c r="K139" s="2"/>
      <c r="L139" s="3"/>
      <c r="M139" s="2"/>
      <c r="N139" s="2"/>
      <c r="O139" s="2"/>
      <c r="P139" s="2"/>
      <c r="Q139" s="9"/>
      <c r="T139" s="44"/>
      <c r="U139" s="44"/>
      <c r="V139" s="44"/>
      <c r="W139" s="44"/>
      <c r="X139" s="44"/>
      <c r="Y139" s="44"/>
      <c r="Z139" s="44"/>
      <c r="AA139" s="44"/>
      <c r="AB139" s="44"/>
      <c r="AC139" s="44"/>
      <c r="AD139" s="44"/>
      <c r="AE139" s="44"/>
      <c r="AF139" s="44"/>
      <c r="AG139" s="44"/>
      <c r="AH139" s="44"/>
      <c r="AI139" s="44"/>
      <c r="AJ139" s="44"/>
      <c r="AK139" s="44"/>
      <c r="AL139" s="44"/>
      <c r="AM139" s="44"/>
      <c r="AN139" s="44"/>
      <c r="AO139" s="44"/>
      <c r="AP139" s="44"/>
      <c r="AQ139" s="44"/>
      <c r="AR139" s="44"/>
      <c r="AS139" s="44"/>
      <c r="AT139" s="44"/>
      <c r="AU139" s="44"/>
      <c r="AV139" s="44"/>
      <c r="AW139" s="44"/>
      <c r="AX139" s="44"/>
      <c r="AY139" s="44"/>
      <c r="AZ139" s="44"/>
      <c r="BA139" s="44"/>
      <c r="BB139" s="44"/>
      <c r="BC139" s="44"/>
      <c r="BD139" s="44"/>
      <c r="BE139" s="44"/>
      <c r="BF139" s="44"/>
    </row>
    <row r="140" spans="2:58" ht="26.25" x14ac:dyDescent="0.4">
      <c r="B140" s="30"/>
      <c r="C140" s="2"/>
      <c r="D140" s="2"/>
      <c r="E140" s="2"/>
      <c r="F140" s="2"/>
      <c r="G140" s="2"/>
      <c r="H140" s="2"/>
      <c r="I140" s="2"/>
      <c r="J140" s="2"/>
      <c r="K140" s="2"/>
      <c r="L140" s="3"/>
      <c r="M140" s="2"/>
      <c r="N140" s="2"/>
      <c r="O140" s="2"/>
      <c r="P140" s="2"/>
      <c r="Q140" s="9"/>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c r="AR140" s="44"/>
      <c r="AS140" s="44"/>
      <c r="AT140" s="44"/>
      <c r="AU140" s="44"/>
      <c r="AV140" s="44"/>
      <c r="AW140" s="44"/>
      <c r="AX140" s="44"/>
      <c r="AY140" s="44"/>
      <c r="AZ140" s="44"/>
      <c r="BA140" s="44"/>
      <c r="BB140" s="44"/>
      <c r="BC140" s="44"/>
      <c r="BD140" s="44"/>
      <c r="BE140" s="44"/>
      <c r="BF140" s="44"/>
    </row>
    <row r="141" spans="2:58" ht="26.45" customHeight="1" x14ac:dyDescent="0.4">
      <c r="B141" s="30"/>
      <c r="C141" s="2"/>
      <c r="D141" s="2"/>
      <c r="E141" s="2"/>
      <c r="F141" s="2"/>
      <c r="G141" s="2"/>
      <c r="H141" s="336"/>
      <c r="I141" s="337" t="s">
        <v>265</v>
      </c>
      <c r="J141" s="333"/>
      <c r="K141" s="334" t="s">
        <v>326</v>
      </c>
      <c r="L141" s="455">
        <f>O449</f>
        <v>16</v>
      </c>
      <c r="M141" s="456"/>
      <c r="N141" s="456"/>
      <c r="O141" s="456"/>
      <c r="P141" s="457"/>
      <c r="Q141" s="335" t="s">
        <v>198</v>
      </c>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c r="AR141" s="44"/>
      <c r="AS141" s="44"/>
      <c r="AT141" s="44"/>
      <c r="AU141" s="44"/>
      <c r="AV141" s="44"/>
      <c r="AW141" s="44"/>
      <c r="AX141" s="44"/>
      <c r="AY141" s="44"/>
      <c r="AZ141" s="44"/>
      <c r="BA141" s="44"/>
      <c r="BB141" s="44"/>
      <c r="BC141" s="44"/>
      <c r="BD141" s="44"/>
      <c r="BE141" s="44"/>
      <c r="BF141" s="44"/>
    </row>
    <row r="142" spans="2:58" ht="26.45" customHeight="1" x14ac:dyDescent="0.25">
      <c r="B142" s="8"/>
      <c r="C142" s="2"/>
      <c r="D142" s="2"/>
      <c r="E142" s="2"/>
      <c r="F142" s="2"/>
      <c r="G142" s="2"/>
      <c r="H142" s="336"/>
      <c r="I142" s="337" t="s">
        <v>197</v>
      </c>
      <c r="J142" s="333"/>
      <c r="K142" s="334" t="s">
        <v>326</v>
      </c>
      <c r="L142" s="445">
        <f>F390</f>
        <v>0.34532374100719426</v>
      </c>
      <c r="M142" s="446"/>
      <c r="N142" s="446"/>
      <c r="O142" s="446"/>
      <c r="P142" s="447"/>
      <c r="Q142" s="335" t="s">
        <v>198</v>
      </c>
      <c r="T142" s="44"/>
      <c r="U142" s="44"/>
      <c r="V142" s="44"/>
      <c r="W142" s="44"/>
      <c r="X142" s="44"/>
      <c r="Y142" s="44"/>
      <c r="Z142" s="44"/>
      <c r="AA142" s="44"/>
      <c r="AB142" s="44"/>
      <c r="AC142" s="44"/>
      <c r="AD142" s="44"/>
      <c r="AE142" s="44"/>
      <c r="AF142" s="44"/>
      <c r="AG142" s="44"/>
      <c r="AH142" s="44"/>
      <c r="AI142" s="44"/>
      <c r="AJ142" s="44"/>
      <c r="AK142" s="44"/>
      <c r="AL142" s="44"/>
      <c r="AM142" s="44"/>
      <c r="AN142" s="44"/>
      <c r="AO142" s="44"/>
      <c r="AP142" s="44"/>
      <c r="AQ142" s="44"/>
      <c r="AR142" s="44"/>
      <c r="AS142" s="44"/>
      <c r="AT142" s="44"/>
      <c r="AU142" s="44"/>
      <c r="AV142" s="44"/>
      <c r="AW142" s="44"/>
      <c r="AX142" s="44"/>
      <c r="AY142" s="44"/>
      <c r="AZ142" s="44"/>
      <c r="BA142" s="44"/>
      <c r="BB142" s="44"/>
      <c r="BC142" s="44"/>
      <c r="BD142" s="44"/>
      <c r="BE142" s="44"/>
      <c r="BF142" s="44"/>
    </row>
    <row r="143" spans="2:58" ht="26.45" customHeight="1" x14ac:dyDescent="0.25">
      <c r="B143" s="8"/>
      <c r="C143" s="2"/>
      <c r="D143" s="2"/>
      <c r="E143" s="2"/>
      <c r="F143" s="2"/>
      <c r="G143" s="2"/>
      <c r="H143" s="336"/>
      <c r="I143" s="337"/>
      <c r="J143" s="333"/>
      <c r="K143" s="334"/>
      <c r="L143" s="386"/>
      <c r="M143" s="386"/>
      <c r="N143" s="386"/>
      <c r="O143" s="386"/>
      <c r="P143" s="386"/>
      <c r="Q143" s="335"/>
      <c r="T143" s="44"/>
      <c r="U143" s="44"/>
      <c r="V143" s="44"/>
      <c r="W143" s="44"/>
      <c r="X143" s="44"/>
      <c r="Y143" s="44"/>
      <c r="Z143" s="44"/>
      <c r="AA143" s="44"/>
      <c r="AB143" s="44"/>
      <c r="AC143" s="44"/>
      <c r="AD143" s="44"/>
      <c r="AE143" s="44"/>
      <c r="AF143" s="44"/>
      <c r="AG143" s="44"/>
      <c r="AH143" s="44"/>
      <c r="AI143" s="44"/>
      <c r="AJ143" s="44"/>
      <c r="AK143" s="44"/>
      <c r="AL143" s="44"/>
      <c r="AM143" s="44"/>
      <c r="AN143" s="44"/>
      <c r="AO143" s="44"/>
      <c r="AP143" s="44"/>
      <c r="AQ143" s="44"/>
      <c r="AR143" s="44"/>
      <c r="AS143" s="44"/>
      <c r="AT143" s="44"/>
      <c r="AU143" s="44"/>
      <c r="AV143" s="44"/>
      <c r="AW143" s="44"/>
      <c r="AX143" s="44"/>
      <c r="AY143" s="44"/>
      <c r="AZ143" s="44"/>
      <c r="BA143" s="44"/>
      <c r="BB143" s="44"/>
      <c r="BC143" s="44"/>
      <c r="BD143" s="44"/>
      <c r="BE143" s="44"/>
      <c r="BF143" s="44"/>
    </row>
    <row r="144" spans="2:58" ht="26.45" customHeight="1" x14ac:dyDescent="0.25">
      <c r="B144" s="8"/>
      <c r="C144" s="2"/>
      <c r="D144" s="2"/>
      <c r="E144" s="2"/>
      <c r="F144" s="2"/>
      <c r="G144" s="2"/>
      <c r="H144" s="336"/>
      <c r="I144" s="337" t="s">
        <v>200</v>
      </c>
      <c r="J144" s="333"/>
      <c r="K144" s="334" t="s">
        <v>327</v>
      </c>
      <c r="L144" s="426">
        <f>S435</f>
        <v>0.52234745433346286</v>
      </c>
      <c r="M144" s="427"/>
      <c r="N144" s="427"/>
      <c r="O144" s="427"/>
      <c r="P144" s="428"/>
      <c r="Q144" s="335" t="s">
        <v>215</v>
      </c>
      <c r="T144" s="44"/>
      <c r="U144" s="44"/>
      <c r="V144" s="44"/>
      <c r="W144" s="44"/>
      <c r="X144" s="44"/>
      <c r="Y144" s="44"/>
      <c r="Z144" s="44"/>
      <c r="AA144" s="44"/>
      <c r="AB144" s="44"/>
      <c r="AC144" s="44"/>
      <c r="AD144" s="44"/>
      <c r="AE144" s="44"/>
      <c r="AF144" s="44"/>
      <c r="AG144" s="44"/>
      <c r="AH144" s="44"/>
      <c r="AI144" s="44"/>
      <c r="AJ144" s="44"/>
      <c r="AK144" s="44"/>
      <c r="AL144" s="44"/>
      <c r="AM144" s="44"/>
      <c r="AN144" s="44"/>
      <c r="AO144" s="44"/>
      <c r="AP144" s="44"/>
      <c r="AQ144" s="44"/>
      <c r="AR144" s="44"/>
      <c r="AS144" s="44"/>
      <c r="AT144" s="44"/>
      <c r="AU144" s="44"/>
      <c r="AV144" s="44"/>
      <c r="AW144" s="44"/>
      <c r="AX144" s="44"/>
      <c r="AY144" s="44"/>
      <c r="AZ144" s="44"/>
      <c r="BA144" s="44"/>
      <c r="BB144" s="44"/>
      <c r="BC144" s="44"/>
      <c r="BD144" s="44"/>
      <c r="BE144" s="44"/>
      <c r="BF144" s="44"/>
    </row>
    <row r="145" spans="2:58" ht="26.45" customHeight="1" x14ac:dyDescent="0.25">
      <c r="B145" s="8"/>
      <c r="C145" s="2"/>
      <c r="D145" s="2"/>
      <c r="E145" s="2"/>
      <c r="F145" s="2"/>
      <c r="G145" s="2"/>
      <c r="H145" s="336"/>
      <c r="I145" s="337" t="s">
        <v>239</v>
      </c>
      <c r="J145" s="333"/>
      <c r="K145" s="334" t="s">
        <v>327</v>
      </c>
      <c r="L145" s="426">
        <f>J113</f>
        <v>0.9</v>
      </c>
      <c r="M145" s="427"/>
      <c r="N145" s="427"/>
      <c r="O145" s="427"/>
      <c r="P145" s="428"/>
      <c r="Q145" s="335" t="s">
        <v>215</v>
      </c>
      <c r="T145" s="44"/>
      <c r="U145" s="44"/>
      <c r="V145" s="44"/>
      <c r="W145" s="44"/>
      <c r="X145" s="44"/>
      <c r="Y145" s="44"/>
      <c r="Z145" s="44"/>
      <c r="AA145" s="44"/>
      <c r="AB145" s="44"/>
      <c r="AC145" s="44"/>
      <c r="AD145" s="44"/>
      <c r="AE145" s="44"/>
      <c r="AF145" s="44"/>
      <c r="AG145" s="44"/>
      <c r="AH145" s="44"/>
      <c r="AI145" s="44"/>
      <c r="AJ145" s="44"/>
      <c r="AK145" s="44"/>
      <c r="AL145" s="44"/>
      <c r="AM145" s="44"/>
      <c r="AN145" s="44"/>
      <c r="AO145" s="44"/>
      <c r="AP145" s="44"/>
      <c r="AQ145" s="44"/>
      <c r="AR145" s="44"/>
      <c r="AS145" s="44"/>
      <c r="AT145" s="44"/>
      <c r="AU145" s="44"/>
      <c r="AV145" s="44"/>
      <c r="AW145" s="44"/>
      <c r="AX145" s="44"/>
      <c r="AY145" s="44"/>
      <c r="AZ145" s="44"/>
      <c r="BA145" s="44"/>
      <c r="BB145" s="44"/>
      <c r="BC145" s="44"/>
      <c r="BD145" s="44"/>
      <c r="BE145" s="44"/>
      <c r="BF145" s="44"/>
    </row>
    <row r="146" spans="2:58" ht="26.45" customHeight="1" x14ac:dyDescent="0.25">
      <c r="B146" s="8"/>
      <c r="C146" s="2"/>
      <c r="D146" s="2"/>
      <c r="E146" s="2"/>
      <c r="F146" s="2"/>
      <c r="G146" s="2"/>
      <c r="H146" s="2"/>
      <c r="I146" s="2"/>
      <c r="J146" s="2"/>
      <c r="K146" s="2"/>
      <c r="L146" s="2"/>
      <c r="M146" s="2"/>
      <c r="N146" s="2"/>
      <c r="O146" s="2"/>
      <c r="P146" s="2"/>
      <c r="Q146" s="9"/>
      <c r="T146" s="44"/>
      <c r="U146" s="44"/>
      <c r="V146" s="44"/>
      <c r="W146" s="44"/>
      <c r="X146" s="44"/>
      <c r="Y146" s="44"/>
      <c r="Z146" s="44"/>
      <c r="AA146" s="44"/>
      <c r="AB146" s="44"/>
      <c r="AC146" s="44"/>
      <c r="AD146" s="44"/>
      <c r="AE146" s="44"/>
      <c r="AF146" s="44"/>
      <c r="AG146" s="44"/>
      <c r="AH146" s="44"/>
      <c r="AI146" s="44"/>
      <c r="AJ146" s="44"/>
      <c r="AK146" s="44"/>
      <c r="AL146" s="44"/>
      <c r="AM146" s="44"/>
      <c r="AN146" s="44"/>
      <c r="AO146" s="44"/>
      <c r="AP146" s="44"/>
      <c r="AQ146" s="44"/>
      <c r="AR146" s="44"/>
      <c r="AS146" s="44"/>
      <c r="AT146" s="44"/>
      <c r="AU146" s="44"/>
      <c r="AV146" s="44"/>
      <c r="AW146" s="44"/>
      <c r="AX146" s="44"/>
      <c r="AY146" s="44"/>
      <c r="AZ146" s="44"/>
      <c r="BA146" s="44"/>
      <c r="BB146" s="44"/>
      <c r="BC146" s="44"/>
      <c r="BD146" s="44"/>
      <c r="BE146" s="44"/>
      <c r="BF146" s="44"/>
    </row>
    <row r="147" spans="2:58" x14ac:dyDescent="0.25">
      <c r="B147" s="8"/>
      <c r="C147" s="2"/>
      <c r="D147" s="2"/>
      <c r="E147" s="2"/>
      <c r="F147" s="2"/>
      <c r="G147" s="2"/>
      <c r="H147" s="2"/>
      <c r="I147" s="90" t="str">
        <f>IF(L141&lt;15,"Critères de confort (15°C mini) non atteints :","")</f>
        <v/>
      </c>
      <c r="J147" s="65" t="str">
        <f>IF(L141&lt;15,"Améliorer rendement ou ajouter puits canadien","")</f>
        <v/>
      </c>
      <c r="K147" s="2"/>
      <c r="L147" s="2"/>
      <c r="M147" s="2"/>
      <c r="N147" s="2"/>
      <c r="O147" s="2"/>
      <c r="P147" s="2"/>
      <c r="Q147" s="9"/>
      <c r="R147" s="338"/>
      <c r="S147" s="339"/>
      <c r="T147" s="339"/>
      <c r="U147" s="4"/>
      <c r="V147" s="4"/>
      <c r="W147" s="44"/>
      <c r="X147" s="44"/>
      <c r="Y147" s="44"/>
      <c r="Z147" s="44"/>
      <c r="AA147" s="44"/>
      <c r="AB147" s="44"/>
      <c r="AC147" s="44"/>
      <c r="AD147" s="44"/>
      <c r="AE147" s="44"/>
      <c r="AF147" s="44"/>
      <c r="AG147" s="44"/>
      <c r="AH147" s="44"/>
      <c r="AI147" s="44"/>
      <c r="AJ147" s="44"/>
      <c r="AK147" s="44"/>
      <c r="AL147" s="44"/>
      <c r="AM147" s="44"/>
      <c r="AN147" s="44"/>
      <c r="AO147" s="44"/>
      <c r="AP147" s="44"/>
      <c r="AQ147" s="44"/>
      <c r="AR147" s="44"/>
      <c r="AS147" s="44"/>
      <c r="AT147" s="44"/>
      <c r="AU147" s="44"/>
      <c r="AV147" s="44"/>
      <c r="AW147" s="44"/>
      <c r="AX147" s="44"/>
      <c r="AY147" s="44"/>
      <c r="AZ147" s="44"/>
      <c r="BA147" s="44"/>
      <c r="BB147" s="44"/>
      <c r="BC147" s="44"/>
      <c r="BD147" s="44"/>
      <c r="BE147" s="44"/>
      <c r="BF147" s="44"/>
    </row>
    <row r="148" spans="2:58" ht="15.75" customHeight="1" x14ac:dyDescent="0.25">
      <c r="B148" s="8"/>
      <c r="C148" s="462" t="s">
        <v>619</v>
      </c>
      <c r="D148" s="462"/>
      <c r="E148" s="462"/>
      <c r="F148" s="462"/>
      <c r="G148" s="462"/>
      <c r="H148" s="462"/>
      <c r="I148" s="462"/>
      <c r="J148" s="462"/>
      <c r="K148" s="462"/>
      <c r="L148" s="462"/>
      <c r="M148" s="462"/>
      <c r="N148" s="462"/>
      <c r="O148" s="462"/>
      <c r="P148" s="462"/>
      <c r="Q148" s="9"/>
      <c r="R148" s="338"/>
      <c r="S148" s="339"/>
      <c r="T148" s="339"/>
      <c r="U148" s="4"/>
      <c r="V148" s="4"/>
      <c r="W148" s="44"/>
      <c r="X148" s="44"/>
      <c r="Y148" s="44"/>
      <c r="Z148" s="44"/>
      <c r="AA148" s="44"/>
      <c r="AB148" s="44"/>
      <c r="AC148" s="44"/>
      <c r="AD148" s="44"/>
      <c r="AE148" s="44"/>
      <c r="AF148" s="44"/>
      <c r="AG148" s="44"/>
      <c r="AH148" s="44"/>
      <c r="AI148" s="44"/>
      <c r="AJ148" s="44"/>
      <c r="AK148" s="44"/>
      <c r="AL148" s="44"/>
      <c r="AM148" s="44"/>
      <c r="AN148" s="44"/>
      <c r="AO148" s="44"/>
      <c r="AP148" s="44"/>
      <c r="AQ148" s="44"/>
      <c r="AR148" s="44"/>
      <c r="AS148" s="44"/>
      <c r="AT148" s="44"/>
      <c r="AU148" s="44"/>
      <c r="AV148" s="44"/>
      <c r="AW148" s="44"/>
      <c r="AX148" s="44"/>
      <c r="AY148" s="44"/>
      <c r="AZ148" s="44"/>
      <c r="BA148" s="44"/>
      <c r="BB148" s="44"/>
      <c r="BC148" s="44"/>
      <c r="BD148" s="44"/>
      <c r="BE148" s="44"/>
      <c r="BF148" s="44"/>
    </row>
    <row r="149" spans="2:58" x14ac:dyDescent="0.25">
      <c r="B149" s="8"/>
      <c r="C149" s="462"/>
      <c r="D149" s="462"/>
      <c r="E149" s="462"/>
      <c r="F149" s="462"/>
      <c r="G149" s="462"/>
      <c r="H149" s="462"/>
      <c r="I149" s="462"/>
      <c r="J149" s="462"/>
      <c r="K149" s="462"/>
      <c r="L149" s="462"/>
      <c r="M149" s="462"/>
      <c r="N149" s="462"/>
      <c r="O149" s="462"/>
      <c r="P149" s="462"/>
      <c r="Q149" s="9"/>
      <c r="R149" s="338"/>
      <c r="S149" s="339"/>
      <c r="T149" s="339"/>
      <c r="U149" s="4"/>
      <c r="V149" s="4"/>
      <c r="W149" s="44"/>
      <c r="X149" s="44"/>
      <c r="Y149" s="44"/>
      <c r="Z149" s="44"/>
      <c r="AA149" s="44"/>
      <c r="AB149" s="44"/>
      <c r="AC149" s="44"/>
      <c r="AD149" s="44"/>
      <c r="AE149" s="44"/>
      <c r="AF149" s="44"/>
      <c r="AG149" s="44"/>
      <c r="AH149" s="44"/>
      <c r="AI149" s="44"/>
      <c r="AJ149" s="44"/>
      <c r="AK149" s="44"/>
      <c r="AL149" s="44"/>
      <c r="AM149" s="44"/>
      <c r="AN149" s="44"/>
      <c r="AO149" s="44"/>
      <c r="AP149" s="44"/>
      <c r="AQ149" s="44"/>
      <c r="AR149" s="44"/>
      <c r="AS149" s="44"/>
      <c r="AT149" s="44"/>
      <c r="AU149" s="44"/>
      <c r="AV149" s="44"/>
      <c r="AW149" s="44"/>
      <c r="AX149" s="44"/>
      <c r="AY149" s="44"/>
      <c r="AZ149" s="44"/>
      <c r="BA149" s="44"/>
      <c r="BB149" s="44"/>
      <c r="BC149" s="44"/>
      <c r="BD149" s="44"/>
      <c r="BE149" s="44"/>
      <c r="BF149" s="44"/>
    </row>
    <row r="150" spans="2:58" x14ac:dyDescent="0.25">
      <c r="B150" s="8"/>
      <c r="C150" s="462"/>
      <c r="D150" s="462"/>
      <c r="E150" s="462"/>
      <c r="F150" s="462"/>
      <c r="G150" s="462"/>
      <c r="H150" s="462"/>
      <c r="I150" s="462"/>
      <c r="J150" s="462"/>
      <c r="K150" s="462"/>
      <c r="L150" s="462"/>
      <c r="M150" s="462"/>
      <c r="N150" s="462"/>
      <c r="O150" s="462"/>
      <c r="P150" s="462"/>
      <c r="Q150" s="9"/>
      <c r="R150" s="338"/>
      <c r="S150" s="339"/>
      <c r="T150" s="339"/>
      <c r="U150" s="4"/>
      <c r="V150" s="4"/>
      <c r="W150" s="44"/>
      <c r="X150" s="44"/>
      <c r="Y150" s="44"/>
      <c r="Z150" s="44"/>
      <c r="AA150" s="44"/>
      <c r="AB150" s="44"/>
      <c r="AC150" s="44"/>
      <c r="AD150" s="44"/>
      <c r="AE150" s="44"/>
      <c r="AF150" s="44"/>
      <c r="AG150" s="44"/>
      <c r="AH150" s="44"/>
      <c r="AI150" s="44"/>
      <c r="AJ150" s="44"/>
      <c r="AK150" s="44"/>
      <c r="AL150" s="44"/>
      <c r="AM150" s="44"/>
      <c r="AN150" s="44"/>
      <c r="AO150" s="44"/>
      <c r="AP150" s="44"/>
      <c r="AQ150" s="44"/>
      <c r="AR150" s="44"/>
      <c r="AS150" s="44"/>
      <c r="AT150" s="44"/>
      <c r="AU150" s="44"/>
      <c r="AV150" s="44"/>
      <c r="AW150" s="44"/>
      <c r="AX150" s="44"/>
      <c r="AY150" s="44"/>
      <c r="AZ150" s="44"/>
      <c r="BA150" s="44"/>
      <c r="BB150" s="44"/>
      <c r="BC150" s="44"/>
      <c r="BD150" s="44"/>
      <c r="BE150" s="44"/>
      <c r="BF150" s="44"/>
    </row>
    <row r="151" spans="2:58" x14ac:dyDescent="0.25">
      <c r="B151" s="8"/>
      <c r="C151" s="2"/>
      <c r="D151" s="2"/>
      <c r="E151" s="2"/>
      <c r="F151" s="2"/>
      <c r="G151" s="2"/>
      <c r="H151" s="2"/>
      <c r="I151" s="2"/>
      <c r="J151" s="41"/>
      <c r="K151" s="2"/>
      <c r="L151" s="2"/>
      <c r="M151" s="2"/>
      <c r="N151" s="2"/>
      <c r="O151" s="2"/>
      <c r="P151" s="2"/>
      <c r="Q151" s="9"/>
      <c r="R151" s="338"/>
      <c r="S151" s="339"/>
      <c r="T151" s="339"/>
      <c r="U151" s="4"/>
      <c r="V151" s="4"/>
      <c r="W151" s="44"/>
      <c r="X151" s="44"/>
      <c r="Y151" s="44"/>
      <c r="Z151" s="44"/>
      <c r="AA151" s="44"/>
      <c r="AB151" s="44"/>
      <c r="AC151" s="44"/>
      <c r="AD151" s="44"/>
      <c r="AE151" s="44"/>
      <c r="AF151" s="44"/>
      <c r="AG151" s="44"/>
      <c r="AH151" s="44"/>
      <c r="AI151" s="44"/>
      <c r="AJ151" s="44"/>
      <c r="AK151" s="44"/>
      <c r="AL151" s="44"/>
      <c r="AM151" s="44"/>
      <c r="AN151" s="44"/>
      <c r="AO151" s="44"/>
      <c r="AP151" s="44"/>
      <c r="AQ151" s="44"/>
      <c r="AR151" s="44"/>
      <c r="AS151" s="44"/>
      <c r="AT151" s="44"/>
      <c r="AU151" s="44"/>
      <c r="AV151" s="44"/>
      <c r="AW151" s="44"/>
      <c r="AX151" s="44"/>
      <c r="AY151" s="44"/>
      <c r="AZ151" s="44"/>
      <c r="BA151" s="44"/>
      <c r="BB151" s="44"/>
      <c r="BC151" s="44"/>
      <c r="BD151" s="44"/>
      <c r="BE151" s="44"/>
      <c r="BF151" s="44"/>
    </row>
    <row r="152" spans="2:58" x14ac:dyDescent="0.25">
      <c r="B152" s="8"/>
      <c r="C152" s="2"/>
      <c r="D152" s="2"/>
      <c r="E152" s="2"/>
      <c r="F152" s="2"/>
      <c r="G152" s="2"/>
      <c r="H152" s="2"/>
      <c r="I152" s="2"/>
      <c r="J152" s="337" t="s">
        <v>199</v>
      </c>
      <c r="K152" s="2"/>
      <c r="L152" s="328">
        <f>E412+E413+E414-E416</f>
        <v>4923.6620000000003</v>
      </c>
      <c r="M152" s="2" t="s">
        <v>245</v>
      </c>
      <c r="N152" s="2"/>
      <c r="O152" s="2"/>
      <c r="P152" s="2"/>
      <c r="Q152" s="9"/>
      <c r="R152" s="4"/>
      <c r="V152" s="114"/>
      <c r="W152" s="44"/>
      <c r="X152" s="44"/>
      <c r="Y152" s="44"/>
      <c r="Z152" s="44"/>
      <c r="AA152" s="44"/>
      <c r="AB152" s="44"/>
      <c r="AC152" s="44"/>
      <c r="AD152" s="44"/>
      <c r="AE152" s="44"/>
      <c r="AF152" s="44"/>
      <c r="AG152" s="44"/>
      <c r="AH152" s="44"/>
      <c r="AI152" s="44"/>
      <c r="AJ152" s="44"/>
      <c r="AK152" s="44"/>
      <c r="AL152" s="44"/>
      <c r="AM152" s="44"/>
      <c r="AN152" s="44"/>
      <c r="AO152" s="44"/>
      <c r="AP152" s="44"/>
      <c r="AQ152" s="44"/>
      <c r="AR152" s="44"/>
      <c r="AS152" s="44"/>
      <c r="AT152" s="44"/>
      <c r="AU152" s="44"/>
      <c r="AV152" s="44"/>
      <c r="AW152" s="44"/>
      <c r="AX152" s="44"/>
      <c r="AY152" s="44"/>
      <c r="AZ152" s="44"/>
      <c r="BA152" s="44"/>
      <c r="BB152" s="44"/>
      <c r="BC152" s="44"/>
      <c r="BD152" s="44"/>
      <c r="BE152" s="44"/>
      <c r="BF152" s="44"/>
    </row>
    <row r="153" spans="2:58" x14ac:dyDescent="0.25">
      <c r="B153" s="8"/>
      <c r="C153" s="2"/>
      <c r="D153" s="2"/>
      <c r="E153" s="2"/>
      <c r="F153" s="2"/>
      <c r="G153" s="2"/>
      <c r="H153" s="2"/>
      <c r="I153" s="2"/>
      <c r="J153" s="337" t="s">
        <v>248</v>
      </c>
      <c r="K153" s="2"/>
      <c r="L153" s="152"/>
      <c r="M153" s="2" t="s">
        <v>245</v>
      </c>
      <c r="N153" s="282" t="s">
        <v>503</v>
      </c>
      <c r="O153" s="282"/>
      <c r="P153" s="2"/>
      <c r="Q153" s="9"/>
      <c r="R153" s="4"/>
      <c r="V153" s="114"/>
      <c r="W153" s="44"/>
      <c r="X153" s="44"/>
      <c r="Y153" s="44"/>
      <c r="Z153" s="44"/>
      <c r="AA153" s="44"/>
      <c r="AB153" s="44"/>
      <c r="AC153" s="44"/>
      <c r="AD153" s="44"/>
      <c r="AE153" s="44"/>
      <c r="AF153" s="44"/>
      <c r="AG153" s="44"/>
      <c r="AH153" s="44"/>
      <c r="AI153" s="44"/>
      <c r="AJ153" s="44"/>
      <c r="AK153" s="44"/>
      <c r="AL153" s="44"/>
      <c r="AM153" s="44"/>
      <c r="AN153" s="44"/>
      <c r="AO153" s="44"/>
      <c r="AP153" s="44"/>
      <c r="AQ153" s="44"/>
      <c r="AR153" s="44"/>
      <c r="AS153" s="44"/>
      <c r="AT153" s="44"/>
      <c r="AU153" s="44"/>
      <c r="AV153" s="44"/>
      <c r="AW153" s="44"/>
      <c r="AX153" s="44"/>
      <c r="AY153" s="44"/>
      <c r="AZ153" s="44"/>
      <c r="BA153" s="44"/>
      <c r="BB153" s="44"/>
      <c r="BC153" s="44"/>
      <c r="BD153" s="44"/>
      <c r="BE153" s="44"/>
      <c r="BF153" s="44"/>
    </row>
    <row r="154" spans="2:58" ht="15.75" hidden="1" customHeight="1" x14ac:dyDescent="0.25">
      <c r="B154" s="8"/>
      <c r="C154" s="454" t="s">
        <v>91</v>
      </c>
      <c r="D154" s="454"/>
      <c r="E154" s="454"/>
      <c r="F154" s="454"/>
      <c r="G154" s="454"/>
      <c r="H154" s="454"/>
      <c r="I154" s="454"/>
      <c r="J154" s="454"/>
      <c r="K154" s="2"/>
      <c r="L154" s="139">
        <f>O394</f>
        <v>13.700998100719428</v>
      </c>
      <c r="M154" s="2" t="s">
        <v>90</v>
      </c>
      <c r="N154" s="2"/>
      <c r="O154" s="2"/>
      <c r="P154" s="2"/>
      <c r="Q154" s="9"/>
      <c r="R154" s="4"/>
      <c r="V154" s="114"/>
      <c r="W154" s="44"/>
      <c r="X154" s="44"/>
      <c r="Y154" s="44"/>
      <c r="Z154" s="44"/>
      <c r="AA154" s="44"/>
      <c r="AB154" s="44"/>
      <c r="AC154" s="44"/>
      <c r="AD154" s="44"/>
      <c r="AE154" s="44"/>
      <c r="AF154" s="44"/>
      <c r="AG154" s="44"/>
      <c r="AH154" s="44"/>
      <c r="AI154" s="44"/>
      <c r="AJ154" s="44"/>
      <c r="AK154" s="44"/>
      <c r="AL154" s="44"/>
      <c r="AM154" s="44"/>
      <c r="AN154" s="44"/>
      <c r="AO154" s="44"/>
      <c r="AP154" s="44"/>
      <c r="AQ154" s="44"/>
      <c r="AR154" s="44"/>
      <c r="AS154" s="44"/>
      <c r="AT154" s="44"/>
      <c r="AU154" s="44"/>
      <c r="AV154" s="44"/>
      <c r="AW154" s="44"/>
      <c r="AX154" s="44"/>
      <c r="AY154" s="44"/>
      <c r="AZ154" s="44"/>
      <c r="BA154" s="44"/>
      <c r="BB154" s="44"/>
      <c r="BC154" s="44"/>
      <c r="BD154" s="44"/>
      <c r="BE154" s="44"/>
      <c r="BF154" s="44"/>
    </row>
    <row r="155" spans="2:58" ht="15.75" hidden="1" customHeight="1" x14ac:dyDescent="0.25">
      <c r="B155" s="8"/>
      <c r="C155" s="2"/>
      <c r="D155" s="2"/>
      <c r="E155" s="2"/>
      <c r="F155" s="2"/>
      <c r="G155" s="2"/>
      <c r="H155" s="2"/>
      <c r="I155" s="2"/>
      <c r="J155" s="318" t="s">
        <v>191</v>
      </c>
      <c r="K155" s="2"/>
      <c r="L155" s="139">
        <f>O407</f>
        <v>104.1320448</v>
      </c>
      <c r="M155" s="2" t="s">
        <v>29</v>
      </c>
      <c r="N155" s="2"/>
      <c r="O155" s="2"/>
      <c r="P155" s="2"/>
      <c r="Q155" s="9"/>
      <c r="R155" s="4"/>
      <c r="V155" s="114"/>
      <c r="W155" s="44"/>
      <c r="X155" s="44"/>
      <c r="Y155" s="44"/>
      <c r="Z155" s="44"/>
      <c r="AA155" s="44"/>
      <c r="AB155" s="44"/>
      <c r="AC155" s="44"/>
      <c r="AD155" s="44"/>
      <c r="AE155" s="44"/>
      <c r="AF155" s="44"/>
      <c r="AG155" s="44"/>
      <c r="AH155" s="44"/>
      <c r="AI155" s="44"/>
      <c r="AJ155" s="44"/>
      <c r="AK155" s="44"/>
      <c r="AL155" s="44"/>
      <c r="AM155" s="44"/>
      <c r="AN155" s="44"/>
      <c r="AO155" s="44"/>
      <c r="AP155" s="44"/>
      <c r="AQ155" s="44"/>
      <c r="AR155" s="44"/>
      <c r="AS155" s="44"/>
      <c r="AT155" s="44"/>
      <c r="AU155" s="44"/>
      <c r="AV155" s="44"/>
      <c r="AW155" s="44"/>
      <c r="AX155" s="44"/>
      <c r="AY155" s="44"/>
      <c r="AZ155" s="44"/>
      <c r="BA155" s="44"/>
      <c r="BB155" s="44"/>
      <c r="BC155" s="44"/>
      <c r="BD155" s="44"/>
      <c r="BE155" s="44"/>
      <c r="BF155" s="44"/>
    </row>
    <row r="156" spans="2:58" ht="15.75" hidden="1" customHeight="1" x14ac:dyDescent="0.25">
      <c r="B156" s="8"/>
      <c r="C156" s="2"/>
      <c r="D156" s="2"/>
      <c r="E156" s="2"/>
      <c r="F156" s="2"/>
      <c r="G156" s="2"/>
      <c r="H156" s="2"/>
      <c r="I156" s="2"/>
      <c r="J156" s="318" t="s">
        <v>192</v>
      </c>
      <c r="K156" s="3"/>
      <c r="L156" s="139">
        <f>O403</f>
        <v>42.678720000000006</v>
      </c>
      <c r="M156" s="2" t="s">
        <v>29</v>
      </c>
      <c r="N156" s="2"/>
      <c r="O156" s="2"/>
      <c r="P156" s="2"/>
      <c r="Q156" s="9"/>
      <c r="R156" s="4"/>
      <c r="S156" s="4"/>
      <c r="T156" s="4"/>
      <c r="U156" s="113"/>
      <c r="V156" s="114"/>
      <c r="W156" s="44"/>
      <c r="X156" s="44"/>
      <c r="Y156" s="44"/>
      <c r="Z156" s="44"/>
      <c r="AA156" s="44"/>
      <c r="AB156" s="44"/>
      <c r="AC156" s="44"/>
      <c r="AD156" s="44"/>
      <c r="AE156" s="44"/>
      <c r="AF156" s="44"/>
      <c r="AG156" s="44"/>
      <c r="AH156" s="44"/>
      <c r="AI156" s="44"/>
      <c r="AJ156" s="44"/>
      <c r="AK156" s="44"/>
      <c r="AL156" s="44"/>
      <c r="AM156" s="44"/>
      <c r="AN156" s="44"/>
      <c r="AO156" s="44"/>
      <c r="AP156" s="44"/>
      <c r="AQ156" s="44"/>
      <c r="AR156" s="44"/>
      <c r="AS156" s="44"/>
      <c r="AT156" s="44"/>
      <c r="AU156" s="44"/>
      <c r="AV156" s="44"/>
      <c r="AW156" s="44"/>
      <c r="AX156" s="44"/>
      <c r="AY156" s="44"/>
      <c r="AZ156" s="44"/>
      <c r="BA156" s="44"/>
      <c r="BB156" s="44"/>
      <c r="BC156" s="44"/>
      <c r="BD156" s="44"/>
      <c r="BE156" s="44"/>
      <c r="BF156" s="44"/>
    </row>
    <row r="157" spans="2:58" ht="15.75" hidden="1" customHeight="1" x14ac:dyDescent="0.25">
      <c r="B157" s="104" t="s">
        <v>210</v>
      </c>
      <c r="C157" s="2"/>
      <c r="D157" s="2"/>
      <c r="E157" s="2"/>
      <c r="F157" s="2"/>
      <c r="G157" s="2"/>
      <c r="H157" s="2"/>
      <c r="I157" s="2"/>
      <c r="J157" s="319" t="s">
        <v>193</v>
      </c>
      <c r="K157" s="319"/>
      <c r="L157" s="139">
        <f>O413</f>
        <v>83.5285248</v>
      </c>
      <c r="M157" s="2" t="s">
        <v>29</v>
      </c>
      <c r="N157" s="2"/>
      <c r="O157" s="2"/>
      <c r="P157" s="2"/>
      <c r="Q157" s="9"/>
      <c r="R157" s="4"/>
      <c r="S157" s="4"/>
      <c r="T157" s="4"/>
      <c r="U157" s="113"/>
      <c r="V157" s="114"/>
      <c r="W157" s="44"/>
      <c r="X157" s="44"/>
      <c r="Y157" s="44"/>
      <c r="Z157" s="44"/>
      <c r="AA157" s="44"/>
      <c r="AB157" s="44"/>
      <c r="AC157" s="44"/>
      <c r="AD157" s="44"/>
      <c r="AE157" s="44"/>
      <c r="AF157" s="44"/>
      <c r="AG157" s="44"/>
      <c r="AH157" s="44"/>
      <c r="AI157" s="44"/>
      <c r="AJ157" s="44"/>
      <c r="AK157" s="44"/>
      <c r="AL157" s="44"/>
      <c r="AM157" s="44"/>
      <c r="AN157" s="44"/>
      <c r="AO157" s="44"/>
      <c r="AP157" s="44"/>
      <c r="AQ157" s="44"/>
      <c r="AR157" s="44"/>
      <c r="AS157" s="44"/>
      <c r="AT157" s="44"/>
      <c r="AU157" s="44"/>
      <c r="AV157" s="44"/>
      <c r="AW157" s="44"/>
      <c r="AX157" s="44"/>
      <c r="AY157" s="44"/>
      <c r="AZ157" s="44"/>
      <c r="BA157" s="44"/>
      <c r="BB157" s="44"/>
      <c r="BC157" s="44"/>
      <c r="BD157" s="44"/>
      <c r="BE157" s="44"/>
      <c r="BF157" s="44"/>
    </row>
    <row r="158" spans="2:58" x14ac:dyDescent="0.25">
      <c r="B158" s="104"/>
      <c r="C158" s="2"/>
      <c r="D158" s="2"/>
      <c r="E158" s="2"/>
      <c r="F158" s="2"/>
      <c r="G158" s="2"/>
      <c r="H158" s="2"/>
      <c r="I158" s="2"/>
      <c r="J158" s="319"/>
      <c r="K158" s="319"/>
      <c r="L158" s="139"/>
      <c r="M158" s="2"/>
      <c r="N158" s="2"/>
      <c r="O158" s="2"/>
      <c r="P158" s="2"/>
      <c r="Q158" s="9"/>
      <c r="R158" s="4"/>
      <c r="S158" s="4"/>
      <c r="T158" s="4"/>
      <c r="U158" s="113"/>
      <c r="V158" s="114"/>
      <c r="W158" s="44"/>
      <c r="X158" s="44"/>
      <c r="Y158" s="44"/>
      <c r="Z158" s="44"/>
      <c r="AA158" s="44"/>
      <c r="AB158" s="44"/>
      <c r="AC158" s="44"/>
      <c r="AD158" s="44"/>
      <c r="AE158" s="44"/>
      <c r="AF158" s="44"/>
      <c r="AG158" s="44"/>
      <c r="AH158" s="44"/>
      <c r="AI158" s="44"/>
      <c r="AJ158" s="44"/>
      <c r="AK158" s="44"/>
      <c r="AL158" s="44"/>
      <c r="AM158" s="44"/>
      <c r="AN158" s="44"/>
      <c r="AO158" s="44"/>
      <c r="AP158" s="44"/>
      <c r="AQ158" s="44"/>
      <c r="AR158" s="44"/>
      <c r="AS158" s="44"/>
      <c r="AT158" s="44"/>
      <c r="AU158" s="44"/>
      <c r="AV158" s="44"/>
      <c r="AW158" s="44"/>
      <c r="AX158" s="44"/>
      <c r="AY158" s="44"/>
      <c r="AZ158" s="44"/>
      <c r="BA158" s="44"/>
      <c r="BB158" s="44"/>
      <c r="BC158" s="44"/>
      <c r="BD158" s="44"/>
      <c r="BE158" s="44"/>
      <c r="BF158" s="44"/>
    </row>
    <row r="159" spans="2:58" x14ac:dyDescent="0.25">
      <c r="B159" s="104"/>
      <c r="C159" s="2"/>
      <c r="D159" s="2"/>
      <c r="E159" s="2"/>
      <c r="F159" s="2"/>
      <c r="G159" s="2"/>
      <c r="H159" s="2"/>
      <c r="I159" s="2"/>
      <c r="J159" s="319"/>
      <c r="K159" s="319"/>
      <c r="L159" s="139"/>
      <c r="M159" s="2"/>
      <c r="N159" s="2"/>
      <c r="O159" s="2"/>
      <c r="P159" s="2"/>
      <c r="Q159" s="9"/>
      <c r="R159" s="4"/>
      <c r="S159" s="4"/>
      <c r="T159" s="4"/>
      <c r="U159" s="113"/>
      <c r="V159" s="114"/>
      <c r="W159" s="44"/>
      <c r="X159" s="44"/>
      <c r="Y159" s="44"/>
      <c r="Z159" s="44"/>
      <c r="AA159" s="44"/>
      <c r="AB159" s="44"/>
      <c r="AC159" s="44"/>
      <c r="AD159" s="44"/>
      <c r="AE159" s="44"/>
      <c r="AF159" s="44"/>
      <c r="AG159" s="44"/>
      <c r="AH159" s="44"/>
      <c r="AI159" s="44"/>
      <c r="AJ159" s="44"/>
      <c r="AK159" s="44"/>
      <c r="AL159" s="44"/>
      <c r="AM159" s="44"/>
      <c r="AN159" s="44"/>
      <c r="AO159" s="44"/>
      <c r="AP159" s="44"/>
      <c r="AQ159" s="44"/>
      <c r="AR159" s="44"/>
      <c r="AS159" s="44"/>
      <c r="AT159" s="44"/>
      <c r="AU159" s="44"/>
      <c r="AV159" s="44"/>
      <c r="AW159" s="44"/>
      <c r="AX159" s="44"/>
      <c r="AY159" s="44"/>
      <c r="AZ159" s="44"/>
      <c r="BA159" s="44"/>
      <c r="BB159" s="44"/>
      <c r="BC159" s="44"/>
      <c r="BD159" s="44"/>
      <c r="BE159" s="44"/>
      <c r="BF159" s="44"/>
    </row>
    <row r="160" spans="2:58" ht="20.25" x14ac:dyDescent="0.25">
      <c r="B160" s="320" t="s">
        <v>620</v>
      </c>
      <c r="C160" s="321"/>
      <c r="D160" s="322"/>
      <c r="E160" s="322"/>
      <c r="F160" s="322"/>
      <c r="G160" s="322"/>
      <c r="H160" s="322"/>
      <c r="I160" s="323"/>
      <c r="J160" s="323"/>
      <c r="K160" s="323"/>
      <c r="L160" s="323"/>
      <c r="M160" s="323"/>
      <c r="N160" s="322"/>
      <c r="O160" s="323"/>
      <c r="P160" s="323"/>
      <c r="Q160" s="323"/>
      <c r="R160" s="4"/>
      <c r="S160" s="4"/>
      <c r="T160" s="4"/>
      <c r="U160" s="113"/>
      <c r="V160" s="114"/>
      <c r="W160" s="44"/>
      <c r="X160" s="44"/>
      <c r="Y160" s="44"/>
      <c r="Z160" s="44"/>
      <c r="AA160" s="44"/>
      <c r="AB160" s="44"/>
      <c r="AC160" s="44"/>
      <c r="AD160" s="44"/>
      <c r="AE160" s="44"/>
      <c r="AF160" s="44"/>
      <c r="AG160" s="44"/>
      <c r="AH160" s="44"/>
      <c r="AI160" s="44"/>
      <c r="AJ160" s="44"/>
      <c r="AK160" s="44"/>
      <c r="AL160" s="44"/>
      <c r="AM160" s="44"/>
      <c r="AN160" s="44"/>
      <c r="AO160" s="44"/>
      <c r="AP160" s="44"/>
      <c r="AQ160" s="44"/>
      <c r="AR160" s="44"/>
      <c r="AS160" s="44"/>
      <c r="AT160" s="44"/>
      <c r="AU160" s="44"/>
      <c r="AV160" s="44"/>
      <c r="AW160" s="44"/>
      <c r="AX160" s="44"/>
      <c r="AY160" s="44"/>
      <c r="AZ160" s="44"/>
      <c r="BA160" s="44"/>
      <c r="BB160" s="44"/>
      <c r="BC160" s="44"/>
      <c r="BD160" s="44"/>
      <c r="BE160" s="44"/>
      <c r="BF160" s="44"/>
    </row>
    <row r="161" spans="2:58" x14ac:dyDescent="0.25">
      <c r="B161" s="104"/>
      <c r="C161" s="2"/>
      <c r="D161" s="2"/>
      <c r="E161" s="2"/>
      <c r="F161" s="2"/>
      <c r="G161" s="2"/>
      <c r="H161" s="2"/>
      <c r="I161" s="2"/>
      <c r="J161" s="319"/>
      <c r="K161" s="319"/>
      <c r="L161" s="139"/>
      <c r="M161" s="2"/>
      <c r="N161" s="2"/>
      <c r="O161" s="2"/>
      <c r="P161" s="2"/>
      <c r="Q161" s="9"/>
      <c r="R161" s="4"/>
      <c r="S161" s="4"/>
      <c r="T161" s="4"/>
      <c r="U161" s="113"/>
      <c r="V161" s="114"/>
      <c r="W161" s="44"/>
      <c r="X161" s="44"/>
      <c r="Y161" s="44"/>
      <c r="Z161" s="44"/>
      <c r="AA161" s="44"/>
      <c r="AB161" s="44"/>
      <c r="AC161" s="44"/>
      <c r="AD161" s="44"/>
      <c r="AE161" s="44"/>
      <c r="AF161" s="44"/>
      <c r="AG161" s="44"/>
      <c r="AH161" s="44"/>
      <c r="AI161" s="44"/>
      <c r="AJ161" s="44"/>
      <c r="AK161" s="44"/>
      <c r="AL161" s="44"/>
      <c r="AM161" s="44"/>
      <c r="AN161" s="44"/>
      <c r="AO161" s="44"/>
      <c r="AP161" s="44"/>
      <c r="AQ161" s="44"/>
      <c r="AR161" s="44"/>
      <c r="AS161" s="44"/>
      <c r="AT161" s="44"/>
      <c r="AU161" s="44"/>
      <c r="AV161" s="44"/>
      <c r="AW161" s="44"/>
      <c r="AX161" s="44"/>
      <c r="AY161" s="44"/>
      <c r="AZ161" s="44"/>
      <c r="BA161" s="44"/>
      <c r="BB161" s="44"/>
      <c r="BC161" s="44"/>
      <c r="BD161" s="44"/>
      <c r="BE161" s="44"/>
      <c r="BF161" s="44"/>
    </row>
    <row r="162" spans="2:58" x14ac:dyDescent="0.25">
      <c r="B162" s="104"/>
      <c r="C162" s="2"/>
      <c r="D162" s="2"/>
      <c r="E162" s="2"/>
      <c r="F162" s="2"/>
      <c r="G162" s="2"/>
      <c r="H162" s="2"/>
      <c r="I162" s="2"/>
      <c r="J162" s="319"/>
      <c r="K162" s="319"/>
      <c r="L162" s="139"/>
      <c r="M162" s="2"/>
      <c r="N162" s="2"/>
      <c r="O162" s="2"/>
      <c r="P162" s="2"/>
      <c r="Q162" s="9"/>
      <c r="R162" s="4"/>
      <c r="S162" s="4"/>
      <c r="T162" s="4"/>
      <c r="U162" s="113"/>
      <c r="V162" s="114"/>
      <c r="W162" s="44"/>
      <c r="X162" s="44"/>
      <c r="Y162" s="44"/>
      <c r="Z162" s="44"/>
      <c r="AA162" s="44"/>
      <c r="AB162" s="44"/>
      <c r="AC162" s="44"/>
      <c r="AD162" s="44"/>
      <c r="AE162" s="44"/>
      <c r="AF162" s="44"/>
      <c r="AG162" s="44"/>
      <c r="AH162" s="44"/>
      <c r="AI162" s="44"/>
      <c r="AJ162" s="44"/>
      <c r="AK162" s="44"/>
      <c r="AL162" s="44"/>
      <c r="AM162" s="44"/>
      <c r="AN162" s="44"/>
      <c r="AO162" s="44"/>
      <c r="AP162" s="44"/>
      <c r="AQ162" s="44"/>
      <c r="AR162" s="44"/>
      <c r="AS162" s="44"/>
      <c r="AT162" s="44"/>
      <c r="AU162" s="44"/>
      <c r="AV162" s="44"/>
      <c r="AW162" s="44"/>
      <c r="AX162" s="44"/>
      <c r="AY162" s="44"/>
      <c r="AZ162" s="44"/>
      <c r="BA162" s="44"/>
      <c r="BB162" s="44"/>
      <c r="BC162" s="44"/>
      <c r="BD162" s="44"/>
      <c r="BE162" s="44"/>
      <c r="BF162" s="44"/>
    </row>
    <row r="163" spans="2:58" x14ac:dyDescent="0.25">
      <c r="B163" s="104"/>
      <c r="C163" s="2"/>
      <c r="D163" s="2"/>
      <c r="E163" s="2"/>
      <c r="F163" s="2"/>
      <c r="G163" s="2"/>
      <c r="H163" s="2"/>
      <c r="I163" s="2"/>
      <c r="J163" s="319"/>
      <c r="K163" s="319"/>
      <c r="L163" s="139"/>
      <c r="M163" s="2"/>
      <c r="N163" s="2"/>
      <c r="O163" s="2"/>
      <c r="P163" s="2"/>
      <c r="Q163" s="9"/>
      <c r="R163" s="4"/>
      <c r="S163" s="4"/>
      <c r="T163" s="4"/>
      <c r="U163" s="113"/>
      <c r="V163" s="114"/>
      <c r="W163" s="44"/>
      <c r="X163" s="44"/>
      <c r="Y163" s="44"/>
      <c r="Z163" s="44"/>
      <c r="AA163" s="44"/>
      <c r="AB163" s="44"/>
      <c r="AC163" s="44"/>
      <c r="AD163" s="44"/>
      <c r="AE163" s="44"/>
      <c r="AF163" s="44"/>
      <c r="AG163" s="44"/>
      <c r="AH163" s="44"/>
      <c r="AI163" s="44"/>
      <c r="AJ163" s="44"/>
      <c r="AK163" s="44"/>
      <c r="AL163" s="44"/>
      <c r="AM163" s="44"/>
      <c r="AN163" s="44"/>
      <c r="AO163" s="44"/>
      <c r="AP163" s="44"/>
      <c r="AQ163" s="44"/>
      <c r="AR163" s="44"/>
      <c r="AS163" s="44"/>
      <c r="AT163" s="44"/>
      <c r="AU163" s="44"/>
      <c r="AV163" s="44"/>
      <c r="AW163" s="44"/>
      <c r="AX163" s="44"/>
      <c r="AY163" s="44"/>
      <c r="AZ163" s="44"/>
      <c r="BA163" s="44"/>
      <c r="BB163" s="44"/>
      <c r="BC163" s="44"/>
      <c r="BD163" s="44"/>
      <c r="BE163" s="44"/>
      <c r="BF163" s="44"/>
    </row>
    <row r="164" spans="2:58" x14ac:dyDescent="0.25">
      <c r="B164" s="104"/>
      <c r="C164" s="2"/>
      <c r="D164" s="2"/>
      <c r="E164" s="2"/>
      <c r="F164" s="2"/>
      <c r="G164" s="2"/>
      <c r="H164" s="2"/>
      <c r="I164" s="2"/>
      <c r="J164" s="319"/>
      <c r="K164" s="319"/>
      <c r="L164" s="139"/>
      <c r="M164" s="2"/>
      <c r="N164" s="2"/>
      <c r="O164" s="2"/>
      <c r="P164" s="2"/>
      <c r="Q164" s="9"/>
      <c r="R164" s="4"/>
      <c r="S164" s="4"/>
      <c r="T164" s="4"/>
      <c r="U164" s="113"/>
      <c r="V164" s="114"/>
      <c r="W164" s="44"/>
      <c r="X164" s="44"/>
      <c r="Y164" s="44"/>
      <c r="Z164" s="44"/>
      <c r="AA164" s="44"/>
      <c r="AB164" s="44"/>
      <c r="AC164" s="44"/>
      <c r="AD164" s="44"/>
      <c r="AE164" s="44"/>
      <c r="AF164" s="44"/>
      <c r="AG164" s="44"/>
      <c r="AH164" s="44"/>
      <c r="AI164" s="44"/>
      <c r="AJ164" s="44"/>
      <c r="AK164" s="44"/>
      <c r="AL164" s="44"/>
      <c r="AM164" s="44"/>
      <c r="AN164" s="44"/>
      <c r="AO164" s="44"/>
      <c r="AP164" s="44"/>
      <c r="AQ164" s="44"/>
      <c r="AR164" s="44"/>
      <c r="AS164" s="44"/>
      <c r="AT164" s="44"/>
      <c r="AU164" s="44"/>
      <c r="AV164" s="44"/>
      <c r="AW164" s="44"/>
      <c r="AX164" s="44"/>
      <c r="AY164" s="44"/>
      <c r="AZ164" s="44"/>
      <c r="BA164" s="44"/>
      <c r="BB164" s="44"/>
      <c r="BC164" s="44"/>
      <c r="BD164" s="44"/>
      <c r="BE164" s="44"/>
      <c r="BF164" s="44"/>
    </row>
    <row r="165" spans="2:58" x14ac:dyDescent="0.25">
      <c r="B165" s="104"/>
      <c r="C165" s="2"/>
      <c r="D165" s="2"/>
      <c r="E165" s="2"/>
      <c r="F165" s="2"/>
      <c r="G165" s="2"/>
      <c r="H165" s="2"/>
      <c r="I165" s="2"/>
      <c r="J165" s="319"/>
      <c r="K165" s="319"/>
      <c r="L165" s="139"/>
      <c r="M165" s="2"/>
      <c r="N165" s="2"/>
      <c r="O165" s="2"/>
      <c r="P165" s="2"/>
      <c r="Q165" s="9"/>
      <c r="R165" s="4"/>
      <c r="S165" s="4"/>
      <c r="T165" s="4"/>
      <c r="U165" s="113"/>
      <c r="V165" s="114"/>
      <c r="W165" s="44"/>
      <c r="X165" s="44"/>
      <c r="Y165" s="44"/>
      <c r="Z165" s="44"/>
      <c r="AA165" s="44"/>
      <c r="AB165" s="44"/>
      <c r="AC165" s="44"/>
      <c r="AD165" s="44"/>
      <c r="AE165" s="44"/>
      <c r="AF165" s="44"/>
      <c r="AG165" s="44"/>
      <c r="AH165" s="44"/>
      <c r="AI165" s="44"/>
      <c r="AJ165" s="44"/>
      <c r="AK165" s="44"/>
      <c r="AL165" s="44"/>
      <c r="AM165" s="44"/>
      <c r="AN165" s="44"/>
      <c r="AO165" s="44"/>
      <c r="AP165" s="44"/>
      <c r="AQ165" s="44"/>
      <c r="AR165" s="44"/>
      <c r="AS165" s="44"/>
      <c r="AT165" s="44"/>
      <c r="AU165" s="44"/>
      <c r="AV165" s="44"/>
      <c r="AW165" s="44"/>
      <c r="AX165" s="44"/>
      <c r="AY165" s="44"/>
      <c r="AZ165" s="44"/>
      <c r="BA165" s="44"/>
      <c r="BB165" s="44"/>
      <c r="BC165" s="44"/>
      <c r="BD165" s="44"/>
      <c r="BE165" s="44"/>
      <c r="BF165" s="44"/>
    </row>
    <row r="166" spans="2:58" x14ac:dyDescent="0.25">
      <c r="B166" s="104"/>
      <c r="C166" s="2"/>
      <c r="D166" s="2"/>
      <c r="E166" s="2"/>
      <c r="F166" s="2"/>
      <c r="G166" s="2"/>
      <c r="H166" s="2"/>
      <c r="I166" s="2"/>
      <c r="J166" s="319"/>
      <c r="K166" s="319"/>
      <c r="L166" s="139"/>
      <c r="M166" s="2"/>
      <c r="N166" s="2"/>
      <c r="O166" s="2"/>
      <c r="P166" s="2"/>
      <c r="Q166" s="9"/>
      <c r="R166" s="4"/>
      <c r="S166" s="4"/>
      <c r="T166" s="4"/>
      <c r="U166" s="113"/>
      <c r="V166" s="114"/>
      <c r="W166" s="44"/>
      <c r="X166" s="44"/>
      <c r="Y166" s="44"/>
      <c r="Z166" s="44"/>
      <c r="AA166" s="44"/>
      <c r="AB166" s="44"/>
      <c r="AC166" s="44"/>
      <c r="AD166" s="44"/>
      <c r="AE166" s="44"/>
      <c r="AF166" s="44"/>
      <c r="AG166" s="44"/>
      <c r="AH166" s="44"/>
      <c r="AI166" s="44"/>
      <c r="AJ166" s="44"/>
      <c r="AK166" s="44"/>
      <c r="AL166" s="44"/>
      <c r="AM166" s="44"/>
      <c r="AN166" s="44"/>
      <c r="AO166" s="44"/>
      <c r="AP166" s="44"/>
      <c r="AQ166" s="44"/>
      <c r="AR166" s="44"/>
      <c r="AS166" s="44"/>
      <c r="AT166" s="44"/>
      <c r="AU166" s="44"/>
      <c r="AV166" s="44"/>
      <c r="AW166" s="44"/>
      <c r="AX166" s="44"/>
      <c r="AY166" s="44"/>
      <c r="AZ166" s="44"/>
      <c r="BA166" s="44"/>
      <c r="BB166" s="44"/>
      <c r="BC166" s="44"/>
      <c r="BD166" s="44"/>
      <c r="BE166" s="44"/>
      <c r="BF166" s="44"/>
    </row>
    <row r="167" spans="2:58" x14ac:dyDescent="0.25">
      <c r="B167" s="104"/>
      <c r="C167" s="2"/>
      <c r="D167" s="2"/>
      <c r="E167" s="2"/>
      <c r="F167" s="2"/>
      <c r="G167" s="2"/>
      <c r="H167" s="2"/>
      <c r="I167" s="2"/>
      <c r="J167" s="319"/>
      <c r="K167" s="319"/>
      <c r="L167" s="139"/>
      <c r="M167" s="2"/>
      <c r="N167" s="2"/>
      <c r="O167" s="2"/>
      <c r="P167" s="2"/>
      <c r="Q167" s="9"/>
      <c r="R167" s="4"/>
      <c r="S167" s="4"/>
      <c r="T167" s="4"/>
      <c r="U167" s="113"/>
      <c r="V167" s="114"/>
      <c r="W167" s="44"/>
      <c r="X167" s="44"/>
      <c r="Y167" s="44"/>
      <c r="Z167" s="44"/>
      <c r="AA167" s="44"/>
      <c r="AB167" s="44"/>
      <c r="AC167" s="44"/>
      <c r="AD167" s="44"/>
      <c r="AE167" s="44"/>
      <c r="AF167" s="44"/>
      <c r="AG167" s="44"/>
      <c r="AH167" s="44"/>
      <c r="AI167" s="44"/>
      <c r="AJ167" s="44"/>
      <c r="AK167" s="44"/>
      <c r="AL167" s="44"/>
      <c r="AM167" s="44"/>
      <c r="AN167" s="44"/>
      <c r="AO167" s="44"/>
      <c r="AP167" s="44"/>
      <c r="AQ167" s="44"/>
      <c r="AR167" s="44"/>
      <c r="AS167" s="44"/>
      <c r="AT167" s="44"/>
      <c r="AU167" s="44"/>
      <c r="AV167" s="44"/>
      <c r="AW167" s="44"/>
      <c r="AX167" s="44"/>
      <c r="AY167" s="44"/>
      <c r="AZ167" s="44"/>
      <c r="BA167" s="44"/>
      <c r="BB167" s="44"/>
      <c r="BC167" s="44"/>
      <c r="BD167" s="44"/>
      <c r="BE167" s="44"/>
      <c r="BF167" s="44"/>
    </row>
    <row r="168" spans="2:58" x14ac:dyDescent="0.25">
      <c r="B168" s="104"/>
      <c r="C168" s="2"/>
      <c r="D168" s="2"/>
      <c r="E168" s="2"/>
      <c r="F168" s="2"/>
      <c r="G168" s="2"/>
      <c r="H168" s="2"/>
      <c r="I168" s="2"/>
      <c r="J168" s="319"/>
      <c r="K168" s="319"/>
      <c r="L168" s="139"/>
      <c r="M168" s="2"/>
      <c r="N168" s="2"/>
      <c r="O168" s="2"/>
      <c r="P168" s="2"/>
      <c r="Q168" s="9"/>
      <c r="R168" s="4"/>
      <c r="S168" s="4"/>
      <c r="T168" s="4"/>
      <c r="U168" s="113"/>
      <c r="V168" s="114"/>
      <c r="W168" s="44"/>
      <c r="X168" s="44"/>
      <c r="Y168" s="44"/>
      <c r="Z168" s="44"/>
      <c r="AA168" s="44"/>
      <c r="AB168" s="44"/>
      <c r="AC168" s="44"/>
      <c r="AD168" s="44"/>
      <c r="AE168" s="44"/>
      <c r="AF168" s="44"/>
      <c r="AG168" s="44"/>
      <c r="AH168" s="44"/>
      <c r="AI168" s="44"/>
      <c r="AJ168" s="44"/>
      <c r="AK168" s="44"/>
      <c r="AL168" s="44"/>
      <c r="AM168" s="44"/>
      <c r="AN168" s="44"/>
      <c r="AO168" s="44"/>
      <c r="AP168" s="44"/>
      <c r="AQ168" s="44"/>
      <c r="AR168" s="44"/>
      <c r="AS168" s="44"/>
      <c r="AT168" s="44"/>
      <c r="AU168" s="44"/>
      <c r="AV168" s="44"/>
      <c r="AW168" s="44"/>
      <c r="AX168" s="44"/>
      <c r="AY168" s="44"/>
      <c r="AZ168" s="44"/>
      <c r="BA168" s="44"/>
      <c r="BB168" s="44"/>
      <c r="BC168" s="44"/>
      <c r="BD168" s="44"/>
      <c r="BE168" s="44"/>
      <c r="BF168" s="44"/>
    </row>
    <row r="169" spans="2:58" x14ac:dyDescent="0.25">
      <c r="B169" s="104"/>
      <c r="C169" s="2"/>
      <c r="D169" s="2"/>
      <c r="E169" s="2"/>
      <c r="F169" s="2"/>
      <c r="G169" s="2"/>
      <c r="H169" s="2"/>
      <c r="I169" s="2"/>
      <c r="J169" s="319"/>
      <c r="K169" s="319"/>
      <c r="L169" s="139"/>
      <c r="M169" s="2"/>
      <c r="N169" s="2"/>
      <c r="O169" s="2"/>
      <c r="P169" s="2"/>
      <c r="Q169" s="9"/>
      <c r="R169" s="4"/>
      <c r="S169" s="4"/>
      <c r="T169" s="4"/>
      <c r="U169" s="113"/>
      <c r="V169" s="114"/>
      <c r="W169" s="44"/>
      <c r="X169" s="44"/>
      <c r="Y169" s="44"/>
      <c r="Z169" s="44"/>
      <c r="AA169" s="44"/>
      <c r="AB169" s="44"/>
      <c r="AC169" s="44"/>
      <c r="AD169" s="44"/>
      <c r="AE169" s="44"/>
      <c r="AF169" s="44"/>
      <c r="AG169" s="44"/>
      <c r="AH169" s="44"/>
      <c r="AI169" s="44"/>
      <c r="AJ169" s="44"/>
      <c r="AK169" s="44"/>
      <c r="AL169" s="44"/>
      <c r="AM169" s="44"/>
      <c r="AN169" s="44"/>
      <c r="AO169" s="44"/>
      <c r="AP169" s="44"/>
      <c r="AQ169" s="44"/>
      <c r="AR169" s="44"/>
      <c r="AS169" s="44"/>
      <c r="AT169" s="44"/>
      <c r="AU169" s="44"/>
      <c r="AV169" s="44"/>
      <c r="AW169" s="44"/>
      <c r="AX169" s="44"/>
      <c r="AY169" s="44"/>
      <c r="AZ169" s="44"/>
      <c r="BA169" s="44"/>
      <c r="BB169" s="44"/>
      <c r="BC169" s="44"/>
      <c r="BD169" s="44"/>
      <c r="BE169" s="44"/>
      <c r="BF169" s="44"/>
    </row>
    <row r="170" spans="2:58" x14ac:dyDescent="0.25">
      <c r="B170" s="104"/>
      <c r="C170" s="2"/>
      <c r="D170" s="2"/>
      <c r="E170" s="2"/>
      <c r="F170" s="2"/>
      <c r="G170" s="2"/>
      <c r="H170" s="2"/>
      <c r="I170" s="2"/>
      <c r="J170" s="319"/>
      <c r="K170" s="319"/>
      <c r="L170" s="139"/>
      <c r="M170" s="2"/>
      <c r="N170" s="2"/>
      <c r="O170" s="2"/>
      <c r="P170" s="2"/>
      <c r="Q170" s="9"/>
      <c r="R170" s="4"/>
      <c r="S170" s="4"/>
      <c r="T170" s="4"/>
      <c r="U170" s="113"/>
      <c r="V170" s="114"/>
      <c r="W170" s="44"/>
      <c r="X170" s="44"/>
      <c r="Y170" s="44"/>
      <c r="Z170" s="44"/>
      <c r="AA170" s="44"/>
      <c r="AB170" s="44"/>
      <c r="AC170" s="44"/>
      <c r="AD170" s="44"/>
      <c r="AE170" s="44"/>
      <c r="AF170" s="44"/>
      <c r="AG170" s="44"/>
      <c r="AH170" s="44"/>
      <c r="AI170" s="44"/>
      <c r="AJ170" s="44"/>
      <c r="AK170" s="44"/>
      <c r="AL170" s="44"/>
      <c r="AM170" s="44"/>
      <c r="AN170" s="44"/>
      <c r="AO170" s="44"/>
      <c r="AP170" s="44"/>
      <c r="AQ170" s="44"/>
      <c r="AR170" s="44"/>
      <c r="AS170" s="44"/>
      <c r="AT170" s="44"/>
      <c r="AU170" s="44"/>
      <c r="AV170" s="44"/>
      <c r="AW170" s="44"/>
      <c r="AX170" s="44"/>
      <c r="AY170" s="44"/>
      <c r="AZ170" s="44"/>
      <c r="BA170" s="44"/>
      <c r="BB170" s="44"/>
      <c r="BC170" s="44"/>
      <c r="BD170" s="44"/>
      <c r="BE170" s="44"/>
      <c r="BF170" s="44"/>
    </row>
    <row r="171" spans="2:58" x14ac:dyDescent="0.25">
      <c r="B171" s="104"/>
      <c r="C171" s="2"/>
      <c r="D171" s="2"/>
      <c r="E171" s="2"/>
      <c r="F171" s="2"/>
      <c r="G171" s="2"/>
      <c r="H171" s="2"/>
      <c r="I171" s="2"/>
      <c r="J171" s="319"/>
      <c r="K171" s="319"/>
      <c r="L171" s="139"/>
      <c r="M171" s="2"/>
      <c r="N171" s="2"/>
      <c r="O171" s="2"/>
      <c r="P171" s="2"/>
      <c r="Q171" s="9"/>
      <c r="R171" s="4"/>
      <c r="S171" s="4"/>
      <c r="T171" s="4"/>
      <c r="U171" s="113"/>
      <c r="V171" s="114"/>
      <c r="W171" s="44"/>
      <c r="X171" s="44"/>
      <c r="Y171" s="44"/>
      <c r="Z171" s="44"/>
      <c r="AA171" s="44"/>
      <c r="AB171" s="44"/>
      <c r="AC171" s="44"/>
      <c r="AD171" s="44"/>
      <c r="AE171" s="44"/>
      <c r="AF171" s="44"/>
      <c r="AG171" s="44"/>
      <c r="AH171" s="44"/>
      <c r="AI171" s="44"/>
      <c r="AJ171" s="44"/>
      <c r="AK171" s="44"/>
      <c r="AL171" s="44"/>
      <c r="AM171" s="44"/>
      <c r="AN171" s="44"/>
      <c r="AO171" s="44"/>
      <c r="AP171" s="44"/>
      <c r="AQ171" s="44"/>
      <c r="AR171" s="44"/>
      <c r="AS171" s="44"/>
      <c r="AT171" s="44"/>
      <c r="AU171" s="44"/>
      <c r="AV171" s="44"/>
      <c r="AW171" s="44"/>
      <c r="AX171" s="44"/>
      <c r="AY171" s="44"/>
      <c r="AZ171" s="44"/>
      <c r="BA171" s="44"/>
      <c r="BB171" s="44"/>
      <c r="BC171" s="44"/>
      <c r="BD171" s="44"/>
      <c r="BE171" s="44"/>
      <c r="BF171" s="44"/>
    </row>
    <row r="172" spans="2:58" x14ac:dyDescent="0.25">
      <c r="B172" s="104"/>
      <c r="C172" s="2"/>
      <c r="D172" s="2"/>
      <c r="E172" s="2"/>
      <c r="F172" s="2"/>
      <c r="G172" s="2"/>
      <c r="H172" s="2"/>
      <c r="I172" s="2"/>
      <c r="J172" s="319"/>
      <c r="K172" s="319"/>
      <c r="L172" s="139"/>
      <c r="M172" s="2"/>
      <c r="N172" s="2"/>
      <c r="O172" s="2"/>
      <c r="P172" s="2"/>
      <c r="Q172" s="9"/>
      <c r="R172" s="4"/>
      <c r="S172" s="4"/>
      <c r="T172" s="4"/>
      <c r="U172" s="113"/>
      <c r="V172" s="114"/>
      <c r="W172" s="44"/>
      <c r="X172" s="44"/>
      <c r="Y172" s="44"/>
      <c r="Z172" s="44"/>
      <c r="AA172" s="44"/>
      <c r="AB172" s="44"/>
      <c r="AC172" s="44"/>
      <c r="AD172" s="44"/>
      <c r="AE172" s="44"/>
      <c r="AF172" s="44"/>
      <c r="AG172" s="44"/>
      <c r="AH172" s="44"/>
      <c r="AI172" s="44"/>
      <c r="AJ172" s="44"/>
      <c r="AK172" s="44"/>
      <c r="AL172" s="44"/>
      <c r="AM172" s="44"/>
      <c r="AN172" s="44"/>
      <c r="AO172" s="44"/>
      <c r="AP172" s="44"/>
      <c r="AQ172" s="44"/>
      <c r="AR172" s="44"/>
      <c r="AS172" s="44"/>
      <c r="AT172" s="44"/>
      <c r="AU172" s="44"/>
      <c r="AV172" s="44"/>
      <c r="AW172" s="44"/>
      <c r="AX172" s="44"/>
      <c r="AY172" s="44"/>
      <c r="AZ172" s="44"/>
      <c r="BA172" s="44"/>
      <c r="BB172" s="44"/>
      <c r="BC172" s="44"/>
      <c r="BD172" s="44"/>
      <c r="BE172" s="44"/>
      <c r="BF172" s="44"/>
    </row>
    <row r="173" spans="2:58" x14ac:dyDescent="0.25">
      <c r="B173" s="104"/>
      <c r="C173" s="2"/>
      <c r="D173" s="2"/>
      <c r="E173" s="2"/>
      <c r="F173" s="2"/>
      <c r="G173" s="2"/>
      <c r="H173" s="2"/>
      <c r="I173" s="2"/>
      <c r="J173" s="319"/>
      <c r="K173" s="319"/>
      <c r="L173" s="139"/>
      <c r="M173" s="2"/>
      <c r="N173" s="2"/>
      <c r="O173" s="2"/>
      <c r="P173" s="2"/>
      <c r="Q173" s="9"/>
      <c r="R173" s="4"/>
      <c r="S173" s="4"/>
      <c r="T173" s="4"/>
      <c r="U173" s="113"/>
      <c r="V173" s="114"/>
      <c r="W173" s="44"/>
      <c r="X173" s="44"/>
      <c r="Y173" s="44"/>
      <c r="Z173" s="44"/>
      <c r="AA173" s="44"/>
      <c r="AB173" s="44"/>
      <c r="AC173" s="44"/>
      <c r="AD173" s="44"/>
      <c r="AE173" s="44"/>
      <c r="AF173" s="44"/>
      <c r="AG173" s="44"/>
      <c r="AH173" s="44"/>
      <c r="AI173" s="44"/>
      <c r="AJ173" s="44"/>
      <c r="AK173" s="44"/>
      <c r="AL173" s="44"/>
      <c r="AM173" s="44"/>
      <c r="AN173" s="44"/>
      <c r="AO173" s="44"/>
      <c r="AP173" s="44"/>
      <c r="AQ173" s="44"/>
      <c r="AR173" s="44"/>
      <c r="AS173" s="44"/>
      <c r="AT173" s="44"/>
      <c r="AU173" s="44"/>
      <c r="AV173" s="44"/>
      <c r="AW173" s="44"/>
      <c r="AX173" s="44"/>
      <c r="AY173" s="44"/>
      <c r="AZ173" s="44"/>
      <c r="BA173" s="44"/>
      <c r="BB173" s="44"/>
      <c r="BC173" s="44"/>
      <c r="BD173" s="44"/>
      <c r="BE173" s="44"/>
      <c r="BF173" s="44"/>
    </row>
    <row r="174" spans="2:58" x14ac:dyDescent="0.25">
      <c r="B174" s="104"/>
      <c r="C174" s="2"/>
      <c r="D174" s="2"/>
      <c r="E174" s="2"/>
      <c r="F174" s="2"/>
      <c r="G174" s="2"/>
      <c r="H174" s="2"/>
      <c r="I174" s="2"/>
      <c r="J174" s="319"/>
      <c r="K174" s="319"/>
      <c r="L174" s="139"/>
      <c r="M174" s="2"/>
      <c r="N174" s="2"/>
      <c r="O174" s="2"/>
      <c r="P174" s="2"/>
      <c r="Q174" s="9"/>
      <c r="R174" s="4"/>
      <c r="S174" s="4"/>
      <c r="T174" s="4"/>
      <c r="U174" s="113"/>
      <c r="V174" s="114"/>
      <c r="W174" s="44"/>
      <c r="X174" s="44"/>
      <c r="Y174" s="44"/>
      <c r="Z174" s="44"/>
      <c r="AA174" s="44"/>
      <c r="AB174" s="44"/>
      <c r="AC174" s="44"/>
      <c r="AD174" s="44"/>
      <c r="AE174" s="44"/>
      <c r="AF174" s="44"/>
      <c r="AG174" s="44"/>
      <c r="AH174" s="44"/>
      <c r="AI174" s="44"/>
      <c r="AJ174" s="44"/>
      <c r="AK174" s="44"/>
      <c r="AL174" s="44"/>
      <c r="AM174" s="44"/>
      <c r="AN174" s="44"/>
      <c r="AO174" s="44"/>
      <c r="AP174" s="44"/>
      <c r="AQ174" s="44"/>
      <c r="AR174" s="44"/>
      <c r="AS174" s="44"/>
      <c r="AT174" s="44"/>
      <c r="AU174" s="44"/>
      <c r="AV174" s="44"/>
      <c r="AW174" s="44"/>
      <c r="AX174" s="44"/>
      <c r="AY174" s="44"/>
      <c r="AZ174" s="44"/>
      <c r="BA174" s="44"/>
      <c r="BB174" s="44"/>
      <c r="BC174" s="44"/>
      <c r="BD174" s="44"/>
      <c r="BE174" s="44"/>
      <c r="BF174" s="44"/>
    </row>
    <row r="175" spans="2:58" x14ac:dyDescent="0.25">
      <c r="B175" s="104"/>
      <c r="C175" s="2"/>
      <c r="D175" s="2"/>
      <c r="E175" s="2"/>
      <c r="F175" s="2"/>
      <c r="G175" s="2"/>
      <c r="H175" s="2"/>
      <c r="I175" s="2"/>
      <c r="J175" s="319"/>
      <c r="K175" s="319"/>
      <c r="L175" s="139"/>
      <c r="M175" s="2"/>
      <c r="N175" s="2"/>
      <c r="O175" s="2"/>
      <c r="P175" s="2"/>
      <c r="Q175" s="9"/>
      <c r="R175" s="4"/>
      <c r="S175" s="4"/>
      <c r="T175" s="4"/>
      <c r="U175" s="113"/>
      <c r="V175" s="114"/>
      <c r="W175" s="44"/>
      <c r="X175" s="44"/>
      <c r="Y175" s="44"/>
      <c r="Z175" s="44"/>
      <c r="AA175" s="44"/>
      <c r="AB175" s="44"/>
      <c r="AC175" s="44"/>
      <c r="AD175" s="44"/>
      <c r="AE175" s="44"/>
      <c r="AF175" s="44"/>
      <c r="AG175" s="44"/>
      <c r="AH175" s="44"/>
      <c r="AI175" s="44"/>
      <c r="AJ175" s="44"/>
      <c r="AK175" s="44"/>
      <c r="AL175" s="44"/>
      <c r="AM175" s="44"/>
      <c r="AN175" s="44"/>
      <c r="AO175" s="44"/>
      <c r="AP175" s="44"/>
      <c r="AQ175" s="44"/>
      <c r="AR175" s="44"/>
      <c r="AS175" s="44"/>
      <c r="AT175" s="44"/>
      <c r="AU175" s="44"/>
      <c r="AV175" s="44"/>
      <c r="AW175" s="44"/>
      <c r="AX175" s="44"/>
      <c r="AY175" s="44"/>
      <c r="AZ175" s="44"/>
      <c r="BA175" s="44"/>
      <c r="BB175" s="44"/>
      <c r="BC175" s="44"/>
      <c r="BD175" s="44"/>
      <c r="BE175" s="44"/>
      <c r="BF175" s="44"/>
    </row>
    <row r="176" spans="2:58" x14ac:dyDescent="0.25">
      <c r="B176" s="104"/>
      <c r="C176" s="2"/>
      <c r="D176" s="2"/>
      <c r="E176" s="2"/>
      <c r="F176" s="2"/>
      <c r="G176" s="2"/>
      <c r="H176" s="2"/>
      <c r="I176" s="2"/>
      <c r="J176" s="319"/>
      <c r="K176" s="319"/>
      <c r="L176" s="139"/>
      <c r="M176" s="2"/>
      <c r="N176" s="2"/>
      <c r="O176" s="2"/>
      <c r="P176" s="2"/>
      <c r="Q176" s="9"/>
      <c r="R176" s="4"/>
      <c r="S176" s="4"/>
      <c r="T176" s="4"/>
      <c r="U176" s="113"/>
      <c r="V176" s="114"/>
      <c r="W176" s="44"/>
      <c r="X176" s="44"/>
      <c r="Y176" s="44"/>
      <c r="Z176" s="44"/>
      <c r="AA176" s="44"/>
      <c r="AB176" s="44"/>
      <c r="AC176" s="44"/>
      <c r="AD176" s="44"/>
      <c r="AE176" s="44"/>
      <c r="AF176" s="44"/>
      <c r="AG176" s="44"/>
      <c r="AH176" s="44"/>
      <c r="AI176" s="44"/>
      <c r="AJ176" s="44"/>
      <c r="AK176" s="44"/>
      <c r="AL176" s="44"/>
      <c r="AM176" s="44"/>
      <c r="AN176" s="44"/>
      <c r="AO176" s="44"/>
      <c r="AP176" s="44"/>
      <c r="AQ176" s="44"/>
      <c r="AR176" s="44"/>
      <c r="AS176" s="44"/>
      <c r="AT176" s="44"/>
      <c r="AU176" s="44"/>
      <c r="AV176" s="44"/>
      <c r="AW176" s="44"/>
      <c r="AX176" s="44"/>
      <c r="AY176" s="44"/>
      <c r="AZ176" s="44"/>
      <c r="BA176" s="44"/>
      <c r="BB176" s="44"/>
      <c r="BC176" s="44"/>
      <c r="BD176" s="44"/>
      <c r="BE176" s="44"/>
      <c r="BF176" s="44"/>
    </row>
    <row r="177" spans="2:58" x14ac:dyDescent="0.25">
      <c r="B177" s="104"/>
      <c r="C177" s="2"/>
      <c r="D177" s="2"/>
      <c r="E177" s="2"/>
      <c r="F177" s="2"/>
      <c r="G177" s="2"/>
      <c r="H177" s="2"/>
      <c r="I177" s="2"/>
      <c r="J177" s="319"/>
      <c r="K177" s="319"/>
      <c r="L177" s="139"/>
      <c r="M177" s="2"/>
      <c r="N177" s="2"/>
      <c r="O177" s="2"/>
      <c r="P177" s="2"/>
      <c r="Q177" s="9"/>
      <c r="R177" s="4"/>
      <c r="S177" s="4"/>
      <c r="T177" s="4"/>
      <c r="U177" s="113"/>
      <c r="V177" s="114"/>
      <c r="W177" s="44"/>
      <c r="X177" s="44"/>
      <c r="Y177" s="44"/>
      <c r="Z177" s="44"/>
      <c r="AA177" s="44"/>
      <c r="AB177" s="44"/>
      <c r="AC177" s="44"/>
      <c r="AD177" s="44"/>
      <c r="AE177" s="44"/>
      <c r="AF177" s="44"/>
      <c r="AG177" s="44"/>
      <c r="AH177" s="44"/>
      <c r="AI177" s="44"/>
      <c r="AJ177" s="44"/>
      <c r="AK177" s="44"/>
      <c r="AL177" s="44"/>
      <c r="AM177" s="44"/>
      <c r="AN177" s="44"/>
      <c r="AO177" s="44"/>
      <c r="AP177" s="44"/>
      <c r="AQ177" s="44"/>
      <c r="AR177" s="44"/>
      <c r="AS177" s="44"/>
      <c r="AT177" s="44"/>
      <c r="AU177" s="44"/>
      <c r="AV177" s="44"/>
      <c r="AW177" s="44"/>
      <c r="AX177" s="44"/>
      <c r="AY177" s="44"/>
      <c r="AZ177" s="44"/>
      <c r="BA177" s="44"/>
      <c r="BB177" s="44"/>
      <c r="BC177" s="44"/>
      <c r="BD177" s="44"/>
      <c r="BE177" s="44"/>
      <c r="BF177" s="44"/>
    </row>
    <row r="178" spans="2:58" x14ac:dyDescent="0.25">
      <c r="B178" s="104"/>
      <c r="C178" s="2"/>
      <c r="D178" s="2"/>
      <c r="E178" s="2"/>
      <c r="F178" s="2"/>
      <c r="G178" s="2"/>
      <c r="H178" s="2"/>
      <c r="I178" s="2"/>
      <c r="J178" s="319"/>
      <c r="K178" s="319"/>
      <c r="L178" s="139"/>
      <c r="M178" s="2"/>
      <c r="N178" s="2"/>
      <c r="O178" s="2"/>
      <c r="P178" s="2"/>
      <c r="Q178" s="9"/>
      <c r="R178" s="4"/>
      <c r="S178" s="4"/>
      <c r="T178" s="4"/>
      <c r="U178" s="113"/>
      <c r="V178" s="114"/>
      <c r="W178" s="44"/>
      <c r="X178" s="44"/>
      <c r="Y178" s="44"/>
      <c r="Z178" s="44"/>
      <c r="AA178" s="44"/>
      <c r="AB178" s="44"/>
      <c r="AC178" s="44"/>
      <c r="AD178" s="44"/>
      <c r="AE178" s="44"/>
      <c r="AF178" s="44"/>
      <c r="AG178" s="44"/>
      <c r="AH178" s="44"/>
      <c r="AI178" s="44"/>
      <c r="AJ178" s="44"/>
      <c r="AK178" s="44"/>
      <c r="AL178" s="44"/>
      <c r="AM178" s="44"/>
      <c r="AN178" s="44"/>
      <c r="AO178" s="44"/>
      <c r="AP178" s="44"/>
      <c r="AQ178" s="44"/>
      <c r="AR178" s="44"/>
      <c r="AS178" s="44"/>
      <c r="AT178" s="44"/>
      <c r="AU178" s="44"/>
      <c r="AV178" s="44"/>
      <c r="AW178" s="44"/>
      <c r="AX178" s="44"/>
      <c r="AY178" s="44"/>
      <c r="AZ178" s="44"/>
      <c r="BA178" s="44"/>
      <c r="BB178" s="44"/>
      <c r="BC178" s="44"/>
      <c r="BD178" s="44"/>
      <c r="BE178" s="44"/>
      <c r="BF178" s="44"/>
    </row>
    <row r="179" spans="2:58" x14ac:dyDescent="0.25">
      <c r="B179" s="104"/>
      <c r="C179" s="2"/>
      <c r="D179" s="2"/>
      <c r="E179" s="2"/>
      <c r="F179" s="2"/>
      <c r="G179" s="2"/>
      <c r="H179" s="2"/>
      <c r="I179" s="2"/>
      <c r="J179" s="319"/>
      <c r="K179" s="319"/>
      <c r="L179" s="139"/>
      <c r="M179" s="2"/>
      <c r="N179" s="2"/>
      <c r="O179" s="2"/>
      <c r="P179" s="2"/>
      <c r="Q179" s="9"/>
      <c r="R179" s="4"/>
      <c r="S179" s="4"/>
      <c r="T179" s="4"/>
      <c r="U179" s="113"/>
      <c r="V179" s="114"/>
      <c r="W179" s="44"/>
      <c r="X179" s="44"/>
      <c r="Y179" s="44"/>
      <c r="Z179" s="44"/>
      <c r="AA179" s="44"/>
      <c r="AB179" s="44"/>
      <c r="AC179" s="44"/>
      <c r="AD179" s="44"/>
      <c r="AE179" s="44"/>
      <c r="AF179" s="44"/>
      <c r="AG179" s="44"/>
      <c r="AH179" s="44"/>
      <c r="AI179" s="44"/>
      <c r="AJ179" s="44"/>
      <c r="AK179" s="44"/>
      <c r="AL179" s="44"/>
      <c r="AM179" s="44"/>
      <c r="AN179" s="44"/>
      <c r="AO179" s="44"/>
      <c r="AP179" s="44"/>
      <c r="AQ179" s="44"/>
      <c r="AR179" s="44"/>
      <c r="AS179" s="44"/>
      <c r="AT179" s="44"/>
      <c r="AU179" s="44"/>
      <c r="AV179" s="44"/>
      <c r="AW179" s="44"/>
      <c r="AX179" s="44"/>
      <c r="AY179" s="44"/>
      <c r="AZ179" s="44"/>
      <c r="BA179" s="44"/>
      <c r="BB179" s="44"/>
      <c r="BC179" s="44"/>
      <c r="BD179" s="44"/>
      <c r="BE179" s="44"/>
      <c r="BF179" s="44"/>
    </row>
    <row r="180" spans="2:58" x14ac:dyDescent="0.25">
      <c r="B180" s="104" t="s">
        <v>510</v>
      </c>
      <c r="C180" s="2"/>
      <c r="D180" s="2"/>
      <c r="E180" s="2"/>
      <c r="F180" s="2"/>
      <c r="G180" s="2"/>
      <c r="H180" s="2"/>
      <c r="I180" s="2"/>
      <c r="J180" s="319"/>
      <c r="K180" s="319"/>
      <c r="L180" s="139"/>
      <c r="M180" s="2"/>
      <c r="N180" s="2"/>
      <c r="O180" s="2"/>
      <c r="P180" s="2"/>
      <c r="Q180" s="9"/>
      <c r="R180" s="4"/>
      <c r="S180" s="4"/>
      <c r="T180" s="4"/>
      <c r="U180" s="113"/>
      <c r="V180" s="114"/>
      <c r="W180" s="44"/>
      <c r="X180" s="44"/>
      <c r="Y180" s="44"/>
      <c r="Z180" s="44"/>
      <c r="AA180" s="44"/>
      <c r="AB180" s="44"/>
      <c r="AC180" s="44"/>
      <c r="AD180" s="44"/>
      <c r="AE180" s="44"/>
      <c r="AF180" s="44"/>
      <c r="AG180" s="44"/>
      <c r="AH180" s="44"/>
      <c r="AI180" s="44"/>
      <c r="AJ180" s="44"/>
      <c r="AK180" s="44"/>
      <c r="AL180" s="44"/>
      <c r="AM180" s="44"/>
      <c r="AN180" s="44"/>
      <c r="AO180" s="44"/>
      <c r="AP180" s="44"/>
      <c r="AQ180" s="44"/>
      <c r="AR180" s="44"/>
      <c r="AS180" s="44"/>
      <c r="AT180" s="44"/>
      <c r="AU180" s="44"/>
      <c r="AV180" s="44"/>
      <c r="AW180" s="44"/>
      <c r="AX180" s="44"/>
      <c r="AY180" s="44"/>
      <c r="AZ180" s="44"/>
      <c r="BA180" s="44"/>
      <c r="BB180" s="44"/>
      <c r="BC180" s="44"/>
      <c r="BD180" s="44"/>
      <c r="BE180" s="44"/>
      <c r="BF180" s="44"/>
    </row>
    <row r="181" spans="2:58" x14ac:dyDescent="0.25">
      <c r="B181" s="104"/>
      <c r="C181" s="2"/>
      <c r="D181" s="2"/>
      <c r="E181" s="2"/>
      <c r="F181" s="2"/>
      <c r="G181" s="2"/>
      <c r="H181" s="2"/>
      <c r="I181" s="2"/>
      <c r="J181" s="319"/>
      <c r="K181" s="319"/>
      <c r="L181" s="139"/>
      <c r="M181" s="2"/>
      <c r="N181" s="2"/>
      <c r="O181" s="2"/>
      <c r="P181" s="2"/>
      <c r="Q181" s="9"/>
      <c r="R181" s="4"/>
      <c r="S181" s="4"/>
      <c r="T181" s="4"/>
      <c r="U181" s="113"/>
      <c r="V181" s="114"/>
      <c r="W181" s="44"/>
      <c r="X181" s="44"/>
      <c r="Y181" s="44"/>
      <c r="Z181" s="44"/>
      <c r="AA181" s="44"/>
      <c r="AB181" s="44"/>
      <c r="AC181" s="44"/>
      <c r="AD181" s="44"/>
      <c r="AE181" s="44"/>
      <c r="AF181" s="44"/>
      <c r="AG181" s="44"/>
      <c r="AH181" s="44"/>
      <c r="AI181" s="44"/>
      <c r="AJ181" s="44"/>
      <c r="AK181" s="44"/>
      <c r="AL181" s="44"/>
      <c r="AM181" s="44"/>
      <c r="AN181" s="44"/>
      <c r="AO181" s="44"/>
      <c r="AP181" s="44"/>
      <c r="AQ181" s="44"/>
      <c r="AR181" s="44"/>
      <c r="AS181" s="44"/>
      <c r="AT181" s="44"/>
      <c r="AU181" s="44"/>
      <c r="AV181" s="44"/>
      <c r="AW181" s="44"/>
      <c r="AX181" s="44"/>
      <c r="AY181" s="44"/>
      <c r="AZ181" s="44"/>
      <c r="BA181" s="44"/>
      <c r="BB181" s="44"/>
      <c r="BC181" s="44"/>
      <c r="BD181" s="44"/>
      <c r="BE181" s="44"/>
      <c r="BF181" s="44"/>
    </row>
    <row r="182" spans="2:58" x14ac:dyDescent="0.25">
      <c r="B182" s="8"/>
      <c r="C182" s="2"/>
      <c r="D182" s="2"/>
      <c r="E182" s="2"/>
      <c r="F182" s="2"/>
      <c r="G182" s="2"/>
      <c r="H182" s="2"/>
      <c r="I182" s="2"/>
      <c r="J182" s="2"/>
      <c r="K182" s="2"/>
      <c r="L182" s="2"/>
      <c r="M182" s="2"/>
      <c r="N182" s="2"/>
      <c r="O182" s="2"/>
      <c r="P182" s="2"/>
      <c r="Q182" s="9"/>
      <c r="R182" s="4"/>
      <c r="S182" s="4"/>
      <c r="T182" s="4"/>
      <c r="U182" s="113"/>
      <c r="V182" s="114"/>
      <c r="W182" s="44"/>
      <c r="X182" s="44"/>
      <c r="Y182" s="44"/>
      <c r="Z182" s="44"/>
      <c r="AA182" s="44"/>
      <c r="AB182" s="44"/>
      <c r="AC182" s="44"/>
      <c r="AD182" s="44"/>
      <c r="AE182" s="44"/>
      <c r="AF182" s="44"/>
      <c r="AG182" s="44"/>
      <c r="AH182" s="44"/>
      <c r="AI182" s="44"/>
      <c r="AJ182" s="44"/>
      <c r="AK182" s="44"/>
      <c r="AL182" s="44"/>
      <c r="AM182" s="44"/>
      <c r="AN182" s="44"/>
      <c r="AO182" s="44"/>
      <c r="AP182" s="44"/>
      <c r="AQ182" s="44"/>
      <c r="AR182" s="44"/>
      <c r="AS182" s="44"/>
      <c r="AT182" s="44"/>
      <c r="AU182" s="44"/>
      <c r="AV182" s="44"/>
      <c r="AW182" s="44"/>
      <c r="AX182" s="44"/>
      <c r="AY182" s="44"/>
      <c r="AZ182" s="44"/>
      <c r="BA182" s="44"/>
      <c r="BB182" s="44"/>
      <c r="BC182" s="44"/>
      <c r="BD182" s="44"/>
      <c r="BE182" s="44"/>
      <c r="BF182" s="44"/>
    </row>
    <row r="183" spans="2:58" x14ac:dyDescent="0.25">
      <c r="B183" s="8"/>
      <c r="C183" s="2"/>
      <c r="D183" s="2"/>
      <c r="E183" s="2"/>
      <c r="F183" s="2"/>
      <c r="G183" s="2"/>
      <c r="H183" s="2"/>
      <c r="I183" s="2"/>
      <c r="J183" s="2"/>
      <c r="K183" s="2"/>
      <c r="L183" s="2"/>
      <c r="M183" s="2"/>
      <c r="N183" s="2"/>
      <c r="O183" s="2"/>
      <c r="P183" s="2"/>
      <c r="Q183" s="9"/>
      <c r="R183" s="4"/>
      <c r="S183" s="4"/>
      <c r="T183" s="4"/>
      <c r="U183" s="113"/>
      <c r="V183" s="114"/>
      <c r="W183" s="44"/>
      <c r="X183" s="44"/>
      <c r="Y183" s="44"/>
      <c r="Z183" s="44"/>
      <c r="AA183" s="44"/>
      <c r="AB183" s="44"/>
      <c r="AC183" s="44"/>
      <c r="AD183" s="44"/>
      <c r="AE183" s="44"/>
      <c r="AF183" s="44"/>
      <c r="AG183" s="44"/>
      <c r="AH183" s="44"/>
      <c r="AI183" s="44"/>
      <c r="AJ183" s="44"/>
      <c r="AK183" s="44"/>
      <c r="AL183" s="44"/>
      <c r="AM183" s="44"/>
      <c r="AN183" s="44"/>
      <c r="AO183" s="44"/>
      <c r="AP183" s="44"/>
      <c r="AQ183" s="44"/>
      <c r="AR183" s="44"/>
      <c r="AS183" s="44"/>
      <c r="AT183" s="44"/>
      <c r="AU183" s="44"/>
      <c r="AV183" s="44"/>
      <c r="AW183" s="44"/>
      <c r="AX183" s="44"/>
      <c r="AY183" s="44"/>
      <c r="AZ183" s="44"/>
      <c r="BA183" s="44"/>
      <c r="BB183" s="44"/>
      <c r="BC183" s="44"/>
      <c r="BD183" s="44"/>
      <c r="BE183" s="44"/>
      <c r="BF183" s="44"/>
    </row>
    <row r="184" spans="2:58" x14ac:dyDescent="0.25">
      <c r="B184" s="8"/>
      <c r="C184" s="2"/>
      <c r="D184" s="2"/>
      <c r="E184" s="2"/>
      <c r="F184" s="2"/>
      <c r="G184" s="2"/>
      <c r="H184" s="2"/>
      <c r="I184" s="2"/>
      <c r="J184" s="2"/>
      <c r="K184" s="2"/>
      <c r="L184" s="2"/>
      <c r="M184" s="2"/>
      <c r="N184" s="2"/>
      <c r="O184" s="2"/>
      <c r="P184" s="2"/>
      <c r="Q184" s="9"/>
      <c r="R184" s="4"/>
      <c r="S184" s="4"/>
      <c r="T184" s="4"/>
      <c r="U184" s="113"/>
      <c r="V184" s="114"/>
      <c r="W184" s="44"/>
      <c r="X184" s="44"/>
      <c r="Y184" s="44"/>
      <c r="Z184" s="44"/>
      <c r="AA184" s="44"/>
      <c r="AB184" s="44"/>
      <c r="AC184" s="44"/>
      <c r="AD184" s="44"/>
      <c r="AE184" s="44"/>
      <c r="AF184" s="44"/>
      <c r="AG184" s="44"/>
      <c r="AH184" s="44"/>
      <c r="AI184" s="44"/>
      <c r="AJ184" s="44"/>
      <c r="AK184" s="44"/>
      <c r="AL184" s="44"/>
      <c r="AM184" s="44"/>
      <c r="AN184" s="44"/>
      <c r="AO184" s="44"/>
      <c r="AP184" s="44"/>
      <c r="AQ184" s="44"/>
      <c r="AR184" s="44"/>
      <c r="AS184" s="44"/>
      <c r="AT184" s="44"/>
      <c r="AU184" s="44"/>
      <c r="AV184" s="44"/>
      <c r="AW184" s="44"/>
      <c r="AX184" s="44"/>
      <c r="AY184" s="44"/>
      <c r="AZ184" s="44"/>
      <c r="BA184" s="44"/>
      <c r="BB184" s="44"/>
      <c r="BC184" s="44"/>
      <c r="BD184" s="44"/>
      <c r="BE184" s="44"/>
      <c r="BF184" s="44"/>
    </row>
    <row r="185" spans="2:58" x14ac:dyDescent="0.25">
      <c r="B185" s="8"/>
      <c r="C185" s="2"/>
      <c r="D185" s="2"/>
      <c r="E185" s="2"/>
      <c r="F185" s="2"/>
      <c r="G185" s="2"/>
      <c r="H185" s="2"/>
      <c r="I185" s="2"/>
      <c r="J185" s="2"/>
      <c r="K185" s="2"/>
      <c r="L185" s="2"/>
      <c r="M185" s="2"/>
      <c r="N185" s="2"/>
      <c r="O185" s="2"/>
      <c r="P185" s="2"/>
      <c r="Q185" s="9"/>
      <c r="R185" s="4"/>
      <c r="S185" s="4"/>
      <c r="T185" s="4"/>
      <c r="U185" s="113"/>
      <c r="V185" s="114"/>
      <c r="W185" s="44"/>
      <c r="X185" s="44"/>
      <c r="Y185" s="44"/>
      <c r="Z185" s="44"/>
      <c r="AA185" s="44"/>
      <c r="AB185" s="44"/>
      <c r="AC185" s="44"/>
      <c r="AD185" s="44"/>
      <c r="AE185" s="44"/>
      <c r="AF185" s="44"/>
      <c r="AG185" s="44"/>
      <c r="AH185" s="44"/>
      <c r="AI185" s="44"/>
      <c r="AJ185" s="44"/>
      <c r="AK185" s="44"/>
      <c r="AL185" s="44"/>
      <c r="AM185" s="44"/>
      <c r="AN185" s="44"/>
      <c r="AO185" s="44"/>
      <c r="AP185" s="44"/>
      <c r="AQ185" s="44"/>
      <c r="AR185" s="44"/>
      <c r="AS185" s="44"/>
      <c r="AT185" s="44"/>
      <c r="AU185" s="44"/>
      <c r="AV185" s="44"/>
      <c r="AW185" s="44"/>
      <c r="AX185" s="44"/>
      <c r="AY185" s="44"/>
      <c r="AZ185" s="44"/>
      <c r="BA185" s="44"/>
      <c r="BB185" s="44"/>
      <c r="BC185" s="44"/>
      <c r="BD185" s="44"/>
      <c r="BE185" s="44"/>
      <c r="BF185" s="44"/>
    </row>
    <row r="186" spans="2:58" x14ac:dyDescent="0.25">
      <c r="B186" s="8"/>
      <c r="C186" s="2"/>
      <c r="D186" s="2"/>
      <c r="E186" s="2"/>
      <c r="F186" s="2"/>
      <c r="G186" s="2"/>
      <c r="H186" s="2"/>
      <c r="I186" s="2"/>
      <c r="J186" s="2"/>
      <c r="K186" s="2"/>
      <c r="L186" s="2"/>
      <c r="M186" s="2"/>
      <c r="N186" s="2"/>
      <c r="O186" s="2"/>
      <c r="P186" s="2"/>
      <c r="Q186" s="9"/>
      <c r="R186" s="4"/>
      <c r="S186" s="4"/>
      <c r="T186" s="4"/>
      <c r="U186" s="113"/>
      <c r="V186" s="114"/>
      <c r="W186" s="44"/>
      <c r="X186" s="44"/>
      <c r="Y186" s="44"/>
      <c r="Z186" s="44"/>
      <c r="AA186" s="44"/>
      <c r="AB186" s="44"/>
      <c r="AC186" s="44"/>
      <c r="AD186" s="44"/>
      <c r="AE186" s="44"/>
      <c r="AF186" s="44"/>
      <c r="AG186" s="44"/>
      <c r="AH186" s="44"/>
      <c r="AI186" s="44"/>
      <c r="AJ186" s="44"/>
      <c r="AK186" s="44"/>
      <c r="AL186" s="44"/>
      <c r="AM186" s="44"/>
      <c r="AN186" s="44"/>
      <c r="AO186" s="44"/>
      <c r="AP186" s="44"/>
      <c r="AQ186" s="44"/>
      <c r="AR186" s="44"/>
      <c r="AS186" s="44"/>
      <c r="AT186" s="44"/>
      <c r="AU186" s="44"/>
      <c r="AV186" s="44"/>
      <c r="AW186" s="44"/>
      <c r="AX186" s="44"/>
      <c r="AY186" s="44"/>
      <c r="AZ186" s="44"/>
      <c r="BA186" s="44"/>
      <c r="BB186" s="44"/>
      <c r="BC186" s="44"/>
      <c r="BD186" s="44"/>
      <c r="BE186" s="44"/>
      <c r="BF186" s="44"/>
    </row>
    <row r="187" spans="2:58" x14ac:dyDescent="0.25">
      <c r="B187" s="8"/>
      <c r="C187" s="2"/>
      <c r="D187" s="2"/>
      <c r="E187" s="2"/>
      <c r="F187" s="2"/>
      <c r="G187" s="2"/>
      <c r="H187" s="2"/>
      <c r="I187" s="2"/>
      <c r="J187" s="2"/>
      <c r="K187" s="2"/>
      <c r="L187" s="2"/>
      <c r="M187" s="2"/>
      <c r="N187" s="2"/>
      <c r="O187" s="2"/>
      <c r="P187" s="2"/>
      <c r="Q187" s="9"/>
      <c r="R187" s="4"/>
      <c r="S187" s="4"/>
      <c r="T187" s="4"/>
      <c r="U187" s="113"/>
      <c r="V187" s="114"/>
      <c r="W187" s="44"/>
      <c r="X187" s="44"/>
      <c r="Y187" s="44"/>
      <c r="Z187" s="44"/>
      <c r="AA187" s="44"/>
      <c r="AB187" s="44"/>
      <c r="AC187" s="44"/>
      <c r="AD187" s="44"/>
      <c r="AE187" s="44"/>
      <c r="AF187" s="44"/>
      <c r="AG187" s="44"/>
      <c r="AH187" s="44"/>
      <c r="AI187" s="44"/>
      <c r="AJ187" s="44"/>
      <c r="AK187" s="44"/>
      <c r="AL187" s="44"/>
      <c r="AM187" s="44"/>
      <c r="AN187" s="44"/>
      <c r="AO187" s="44"/>
      <c r="AP187" s="44"/>
      <c r="AQ187" s="44"/>
      <c r="AR187" s="44"/>
      <c r="AS187" s="44"/>
      <c r="AT187" s="44"/>
      <c r="AU187" s="44"/>
      <c r="AV187" s="44"/>
      <c r="AW187" s="44"/>
      <c r="AX187" s="44"/>
      <c r="AY187" s="44"/>
      <c r="AZ187" s="44"/>
      <c r="BA187" s="44"/>
      <c r="BB187" s="44"/>
      <c r="BC187" s="44"/>
      <c r="BD187" s="44"/>
      <c r="BE187" s="44"/>
      <c r="BF187" s="44"/>
    </row>
    <row r="188" spans="2:58" x14ac:dyDescent="0.25">
      <c r="B188" s="8"/>
      <c r="C188" s="2"/>
      <c r="D188" s="2"/>
      <c r="E188" s="2"/>
      <c r="F188" s="2"/>
      <c r="G188" s="2"/>
      <c r="H188" s="2"/>
      <c r="I188" s="2"/>
      <c r="J188" s="2"/>
      <c r="K188" s="2"/>
      <c r="L188" s="2"/>
      <c r="M188" s="2"/>
      <c r="N188" s="2"/>
      <c r="O188" s="2"/>
      <c r="P188" s="2"/>
      <c r="Q188" s="9"/>
      <c r="R188" s="4"/>
      <c r="S188" s="4"/>
      <c r="T188" s="4"/>
      <c r="U188" s="113"/>
      <c r="V188" s="114"/>
      <c r="W188" s="44"/>
      <c r="X188" s="44"/>
      <c r="Y188" s="44"/>
      <c r="Z188" s="44"/>
      <c r="AA188" s="44"/>
      <c r="AB188" s="44"/>
      <c r="AC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c r="AY188" s="44"/>
      <c r="AZ188" s="44"/>
      <c r="BA188" s="44"/>
      <c r="BB188" s="44"/>
      <c r="BC188" s="44"/>
      <c r="BD188" s="44"/>
      <c r="BE188" s="44"/>
      <c r="BF188" s="44"/>
    </row>
    <row r="189" spans="2:58" x14ac:dyDescent="0.25">
      <c r="B189" s="8"/>
      <c r="C189" s="2"/>
      <c r="D189" s="2"/>
      <c r="E189" s="2"/>
      <c r="F189" s="2"/>
      <c r="G189" s="2"/>
      <c r="H189" s="39"/>
      <c r="I189" s="40"/>
      <c r="J189" s="40"/>
      <c r="K189" s="39"/>
      <c r="L189" s="39"/>
      <c r="M189" s="39"/>
      <c r="N189" s="39"/>
      <c r="O189" s="39"/>
      <c r="P189" s="40"/>
      <c r="Q189" s="9"/>
      <c r="R189" s="4"/>
      <c r="S189" s="4"/>
      <c r="T189" s="4"/>
      <c r="U189" s="113"/>
      <c r="V189" s="114"/>
      <c r="W189" s="44"/>
      <c r="X189" s="44"/>
      <c r="Y189" s="44"/>
      <c r="Z189" s="44"/>
      <c r="AA189" s="44"/>
      <c r="AB189" s="44"/>
      <c r="AC189" s="44"/>
      <c r="AD189" s="44"/>
      <c r="AE189" s="44"/>
      <c r="AF189" s="44"/>
      <c r="AG189" s="44"/>
      <c r="AH189" s="44"/>
      <c r="AI189" s="44"/>
      <c r="AJ189" s="44"/>
      <c r="AK189" s="44"/>
      <c r="AL189" s="44"/>
      <c r="AM189" s="44"/>
      <c r="AN189" s="44"/>
      <c r="AO189" s="44"/>
      <c r="AP189" s="44"/>
      <c r="AQ189" s="44"/>
      <c r="AR189" s="44"/>
      <c r="AS189" s="44"/>
      <c r="AT189" s="44"/>
      <c r="AU189" s="44"/>
      <c r="AV189" s="44"/>
      <c r="AW189" s="44"/>
      <c r="AX189" s="44"/>
      <c r="AY189" s="44"/>
      <c r="AZ189" s="44"/>
      <c r="BA189" s="44"/>
      <c r="BB189" s="44"/>
      <c r="BC189" s="44"/>
      <c r="BD189" s="44"/>
      <c r="BE189" s="44"/>
      <c r="BF189" s="44"/>
    </row>
    <row r="190" spans="2:58" x14ac:dyDescent="0.25">
      <c r="B190" s="8"/>
      <c r="C190" s="2"/>
      <c r="D190" s="2"/>
      <c r="E190" s="2"/>
      <c r="F190" s="2"/>
      <c r="G190" s="2"/>
      <c r="H190" s="2"/>
      <c r="I190" s="2"/>
      <c r="J190" s="2"/>
      <c r="K190" s="2"/>
      <c r="L190" s="2"/>
      <c r="M190" s="2"/>
      <c r="N190" s="2"/>
      <c r="O190" s="2"/>
      <c r="P190" s="2"/>
      <c r="Q190" s="9"/>
      <c r="R190" s="4"/>
      <c r="S190" s="4"/>
      <c r="T190" s="4"/>
      <c r="U190" s="113"/>
      <c r="V190" s="114"/>
      <c r="W190" s="44"/>
      <c r="X190" s="44"/>
      <c r="Y190" s="44"/>
      <c r="Z190" s="44"/>
      <c r="AA190" s="44"/>
      <c r="AB190" s="44"/>
      <c r="AC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c r="AY190" s="44"/>
      <c r="AZ190" s="44"/>
      <c r="BA190" s="44"/>
      <c r="BB190" s="44"/>
      <c r="BC190" s="44"/>
      <c r="BD190" s="44"/>
      <c r="BE190" s="44"/>
      <c r="BF190" s="44"/>
    </row>
    <row r="191" spans="2:58" x14ac:dyDescent="0.25">
      <c r="B191" s="8"/>
      <c r="C191" s="2"/>
      <c r="D191" s="2"/>
      <c r="E191" s="2"/>
      <c r="F191" s="2"/>
      <c r="G191" s="2"/>
      <c r="H191" s="2"/>
      <c r="I191" s="2"/>
      <c r="J191" s="2"/>
      <c r="K191" s="2"/>
      <c r="L191" s="2"/>
      <c r="M191" s="2"/>
      <c r="N191" s="2"/>
      <c r="O191" s="2"/>
      <c r="P191" s="2"/>
      <c r="Q191" s="9"/>
      <c r="R191" s="4"/>
      <c r="S191" s="4"/>
      <c r="T191" s="4"/>
      <c r="U191" s="113"/>
      <c r="V191" s="114"/>
      <c r="W191" s="44"/>
      <c r="X191" s="44"/>
      <c r="Y191" s="44"/>
      <c r="Z191" s="44"/>
      <c r="AA191" s="44"/>
      <c r="AB191" s="44"/>
      <c r="AC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c r="AY191" s="44"/>
      <c r="AZ191" s="44"/>
      <c r="BA191" s="44"/>
      <c r="BB191" s="44"/>
      <c r="BC191" s="44"/>
      <c r="BD191" s="44"/>
      <c r="BE191" s="44"/>
      <c r="BF191" s="44"/>
    </row>
    <row r="192" spans="2:58" x14ac:dyDescent="0.25">
      <c r="B192" s="8"/>
      <c r="C192" s="2"/>
      <c r="D192" s="2"/>
      <c r="E192" s="2"/>
      <c r="F192" s="2"/>
      <c r="G192" s="2"/>
      <c r="H192" s="2"/>
      <c r="I192" s="2"/>
      <c r="J192" s="2"/>
      <c r="K192" s="2"/>
      <c r="L192" s="2"/>
      <c r="M192" s="2"/>
      <c r="N192" s="2"/>
      <c r="O192" s="2"/>
      <c r="P192" s="2"/>
      <c r="Q192" s="9"/>
      <c r="R192" s="4"/>
      <c r="S192" s="4"/>
      <c r="T192" s="4"/>
      <c r="U192" s="113"/>
      <c r="V192" s="114"/>
      <c r="W192" s="44"/>
      <c r="X192" s="44"/>
      <c r="Y192" s="44"/>
      <c r="Z192" s="44"/>
      <c r="AA192" s="44"/>
      <c r="AB192" s="44"/>
      <c r="AC192" s="44"/>
      <c r="AD192" s="44"/>
      <c r="AE192" s="44"/>
      <c r="AF192" s="44"/>
      <c r="AG192" s="44"/>
      <c r="AH192" s="44"/>
      <c r="AI192" s="44"/>
      <c r="AJ192" s="44"/>
      <c r="AK192" s="44"/>
      <c r="AL192" s="44"/>
      <c r="AM192" s="44"/>
      <c r="AN192" s="44"/>
      <c r="AO192" s="44"/>
      <c r="AP192" s="44"/>
      <c r="AQ192" s="44"/>
      <c r="AR192" s="44"/>
      <c r="AS192" s="44"/>
      <c r="AT192" s="44"/>
      <c r="AU192" s="44"/>
      <c r="AV192" s="44"/>
      <c r="AW192" s="44"/>
      <c r="AX192" s="44"/>
      <c r="AY192" s="44"/>
      <c r="AZ192" s="44"/>
      <c r="BA192" s="44"/>
      <c r="BB192" s="44"/>
      <c r="BC192" s="44"/>
      <c r="BD192" s="44"/>
      <c r="BE192" s="44"/>
      <c r="BF192" s="44"/>
    </row>
    <row r="193" spans="2:58" x14ac:dyDescent="0.25">
      <c r="B193" s="8"/>
      <c r="C193" s="2"/>
      <c r="D193" s="2"/>
      <c r="E193" s="2"/>
      <c r="F193" s="2"/>
      <c r="G193" s="2"/>
      <c r="H193" s="2"/>
      <c r="I193" s="2"/>
      <c r="J193" s="2"/>
      <c r="K193" s="2"/>
      <c r="L193" s="2"/>
      <c r="M193" s="2"/>
      <c r="N193" s="2"/>
      <c r="O193" s="2"/>
      <c r="P193" s="2"/>
      <c r="Q193" s="9"/>
      <c r="R193" s="4"/>
      <c r="S193" s="4"/>
      <c r="T193" s="4"/>
      <c r="U193" s="113"/>
      <c r="V193" s="114"/>
      <c r="W193" s="44"/>
      <c r="X193" s="44"/>
      <c r="Y193" s="44"/>
      <c r="Z193" s="44"/>
      <c r="AA193" s="44"/>
      <c r="AB193" s="44"/>
      <c r="AC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c r="AY193" s="44"/>
      <c r="AZ193" s="44"/>
      <c r="BA193" s="44"/>
      <c r="BB193" s="44"/>
      <c r="BC193" s="44"/>
      <c r="BD193" s="44"/>
      <c r="BE193" s="44"/>
      <c r="BF193" s="44"/>
    </row>
    <row r="194" spans="2:58" x14ac:dyDescent="0.25">
      <c r="B194" s="8"/>
      <c r="C194" s="2"/>
      <c r="D194" s="2"/>
      <c r="E194" s="2"/>
      <c r="F194" s="2"/>
      <c r="G194" s="2"/>
      <c r="H194" s="2"/>
      <c r="I194" s="2"/>
      <c r="J194" s="2"/>
      <c r="K194" s="2"/>
      <c r="L194" s="2"/>
      <c r="M194" s="2"/>
      <c r="N194" s="2"/>
      <c r="O194" s="2"/>
      <c r="P194" s="2"/>
      <c r="Q194" s="9"/>
      <c r="R194" s="4"/>
      <c r="S194" s="4"/>
      <c r="T194" s="4"/>
      <c r="U194" s="113"/>
      <c r="V194" s="114"/>
      <c r="W194" s="44"/>
      <c r="X194" s="44"/>
      <c r="Y194" s="44"/>
      <c r="Z194" s="44"/>
      <c r="AA194" s="44"/>
      <c r="AB194" s="44"/>
      <c r="AC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c r="AY194" s="44"/>
      <c r="AZ194" s="44"/>
      <c r="BA194" s="44"/>
      <c r="BB194" s="44"/>
      <c r="BC194" s="44"/>
      <c r="BD194" s="44"/>
      <c r="BE194" s="44"/>
      <c r="BF194" s="44"/>
    </row>
    <row r="195" spans="2:58" x14ac:dyDescent="0.25">
      <c r="B195" s="8"/>
      <c r="C195" s="2"/>
      <c r="D195" s="2"/>
      <c r="E195" s="2"/>
      <c r="F195" s="2"/>
      <c r="G195" s="2"/>
      <c r="H195" s="2"/>
      <c r="I195" s="2"/>
      <c r="J195" s="2"/>
      <c r="K195" s="2"/>
      <c r="L195" s="2"/>
      <c r="M195" s="2"/>
      <c r="N195" s="2"/>
      <c r="O195" s="2"/>
      <c r="P195" s="2"/>
      <c r="Q195" s="9"/>
      <c r="R195" s="4"/>
      <c r="S195" s="4"/>
      <c r="T195" s="4"/>
      <c r="U195" s="113"/>
      <c r="V195" s="114"/>
      <c r="W195" s="44"/>
      <c r="X195" s="44"/>
      <c r="Y195" s="44"/>
      <c r="Z195" s="44"/>
      <c r="AA195" s="44"/>
      <c r="AB195" s="44"/>
      <c r="AC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c r="AY195" s="44"/>
      <c r="AZ195" s="44"/>
      <c r="BA195" s="44"/>
      <c r="BB195" s="44"/>
      <c r="BC195" s="44"/>
      <c r="BD195" s="44"/>
      <c r="BE195" s="44"/>
      <c r="BF195" s="44"/>
    </row>
    <row r="196" spans="2:58" x14ac:dyDescent="0.25">
      <c r="B196" s="8"/>
      <c r="C196" s="2"/>
      <c r="D196" s="2"/>
      <c r="E196" s="2"/>
      <c r="F196" s="2"/>
      <c r="G196" s="2"/>
      <c r="H196" s="2"/>
      <c r="I196" s="2"/>
      <c r="J196" s="2"/>
      <c r="K196" s="2"/>
      <c r="L196" s="2"/>
      <c r="M196" s="2"/>
      <c r="N196" s="2"/>
      <c r="O196" s="2"/>
      <c r="P196" s="2"/>
      <c r="Q196" s="9"/>
      <c r="R196" s="4"/>
      <c r="S196" s="4"/>
      <c r="T196" s="4"/>
      <c r="U196" s="113"/>
      <c r="V196" s="114"/>
      <c r="W196" s="44"/>
      <c r="X196" s="44"/>
      <c r="Y196" s="44"/>
      <c r="Z196" s="44"/>
      <c r="AA196" s="44"/>
      <c r="AB196" s="44"/>
      <c r="AC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c r="AY196" s="44"/>
      <c r="AZ196" s="44"/>
      <c r="BA196" s="44"/>
      <c r="BB196" s="44"/>
      <c r="BC196" s="44"/>
      <c r="BD196" s="44"/>
      <c r="BE196" s="44"/>
      <c r="BF196" s="44"/>
    </row>
    <row r="197" spans="2:58" x14ac:dyDescent="0.25">
      <c r="B197" s="8"/>
      <c r="C197" s="2"/>
      <c r="D197" s="2"/>
      <c r="E197" s="2"/>
      <c r="F197" s="2"/>
      <c r="G197" s="2"/>
      <c r="H197" s="2"/>
      <c r="I197" s="2"/>
      <c r="J197" s="2"/>
      <c r="K197" s="2"/>
      <c r="L197" s="2"/>
      <c r="M197" s="2"/>
      <c r="N197" s="2"/>
      <c r="O197" s="2"/>
      <c r="P197" s="2"/>
      <c r="Q197" s="9"/>
      <c r="R197" s="4"/>
      <c r="S197" s="4"/>
      <c r="T197" s="4"/>
      <c r="U197" s="113"/>
      <c r="V197" s="114"/>
      <c r="W197" s="44"/>
      <c r="X197" s="44"/>
      <c r="Y197" s="44"/>
      <c r="Z197" s="44"/>
      <c r="AA197" s="44"/>
      <c r="AB197" s="44"/>
      <c r="AC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c r="AY197" s="44"/>
      <c r="AZ197" s="44"/>
      <c r="BA197" s="44"/>
      <c r="BB197" s="44"/>
      <c r="BC197" s="44"/>
      <c r="BD197" s="44"/>
      <c r="BE197" s="44"/>
      <c r="BF197" s="44"/>
    </row>
    <row r="198" spans="2:58" x14ac:dyDescent="0.25">
      <c r="B198" s="8"/>
      <c r="C198" s="2"/>
      <c r="D198" s="2"/>
      <c r="E198" s="2"/>
      <c r="F198" s="2"/>
      <c r="G198" s="2"/>
      <c r="H198" s="2"/>
      <c r="I198" s="2"/>
      <c r="J198" s="2"/>
      <c r="K198" s="2"/>
      <c r="L198" s="2"/>
      <c r="M198" s="2"/>
      <c r="N198" s="2"/>
      <c r="O198" s="2"/>
      <c r="P198" s="2"/>
      <c r="Q198" s="9"/>
      <c r="R198" s="4"/>
      <c r="S198" s="4"/>
      <c r="T198" s="4"/>
      <c r="U198" s="113"/>
      <c r="V198" s="114"/>
      <c r="W198" s="44"/>
      <c r="X198" s="44"/>
      <c r="Y198" s="44"/>
      <c r="Z198" s="44"/>
      <c r="AA198" s="44"/>
      <c r="AB198" s="44"/>
      <c r="AC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c r="AY198" s="44"/>
      <c r="AZ198" s="44"/>
      <c r="BA198" s="44"/>
      <c r="BB198" s="44"/>
      <c r="BC198" s="44"/>
      <c r="BD198" s="44"/>
      <c r="BE198" s="44"/>
      <c r="BF198" s="44"/>
    </row>
    <row r="199" spans="2:58" x14ac:dyDescent="0.25">
      <c r="B199" s="8"/>
      <c r="C199" s="2"/>
      <c r="D199" s="2"/>
      <c r="E199" s="2"/>
      <c r="F199" s="2"/>
      <c r="G199" s="2"/>
      <c r="H199" s="2"/>
      <c r="I199" s="2"/>
      <c r="J199" s="2"/>
      <c r="K199" s="2"/>
      <c r="L199" s="2"/>
      <c r="M199" s="2"/>
      <c r="N199" s="2"/>
      <c r="O199" s="2"/>
      <c r="P199" s="2"/>
      <c r="Q199" s="9"/>
      <c r="R199" s="4"/>
      <c r="S199" s="4"/>
      <c r="T199" s="4"/>
      <c r="U199" s="113"/>
      <c r="V199" s="114"/>
      <c r="W199" s="44"/>
      <c r="X199" s="44"/>
      <c r="Y199" s="44"/>
      <c r="Z199" s="44"/>
      <c r="AA199" s="44"/>
      <c r="AB199" s="44"/>
      <c r="AC199" s="44"/>
      <c r="AD199" s="44"/>
      <c r="AE199" s="44"/>
      <c r="AF199" s="44"/>
      <c r="AG199" s="44"/>
      <c r="AH199" s="44"/>
      <c r="AI199" s="44"/>
      <c r="AJ199" s="44"/>
      <c r="AK199" s="44"/>
      <c r="AL199" s="44"/>
      <c r="AM199" s="44"/>
      <c r="AN199" s="44"/>
      <c r="AO199" s="44"/>
      <c r="AP199" s="44"/>
      <c r="AQ199" s="44"/>
      <c r="AR199" s="44"/>
      <c r="AS199" s="44"/>
      <c r="AT199" s="44"/>
      <c r="AU199" s="44"/>
      <c r="AV199" s="44"/>
      <c r="AW199" s="44"/>
      <c r="AX199" s="44"/>
      <c r="AY199" s="44"/>
      <c r="AZ199" s="44"/>
      <c r="BA199" s="44"/>
      <c r="BB199" s="44"/>
      <c r="BC199" s="44"/>
      <c r="BD199" s="44"/>
      <c r="BE199" s="44"/>
      <c r="BF199" s="44"/>
    </row>
    <row r="200" spans="2:58" x14ac:dyDescent="0.25">
      <c r="B200" s="8"/>
      <c r="C200" s="2"/>
      <c r="D200" s="2"/>
      <c r="E200" s="2"/>
      <c r="F200" s="2"/>
      <c r="G200" s="2"/>
      <c r="H200" s="2"/>
      <c r="I200" s="2"/>
      <c r="J200" s="2"/>
      <c r="K200" s="2"/>
      <c r="L200" s="2"/>
      <c r="M200" s="2"/>
      <c r="N200" s="2"/>
      <c r="O200" s="2"/>
      <c r="P200" s="2"/>
      <c r="Q200" s="9"/>
      <c r="R200" s="4"/>
      <c r="S200" s="4"/>
      <c r="T200" s="4"/>
      <c r="U200" s="113"/>
      <c r="V200" s="114"/>
      <c r="W200" s="44"/>
      <c r="X200" s="44"/>
      <c r="Y200" s="44"/>
      <c r="Z200" s="44"/>
      <c r="AA200" s="44"/>
      <c r="AB200" s="44"/>
      <c r="AC200" s="44"/>
      <c r="AD200" s="44"/>
      <c r="AE200" s="44"/>
      <c r="AF200" s="44"/>
      <c r="AG200" s="44"/>
      <c r="AH200" s="44"/>
      <c r="AI200" s="44"/>
      <c r="AJ200" s="44"/>
      <c r="AK200" s="44"/>
      <c r="AL200" s="44"/>
      <c r="AM200" s="44"/>
      <c r="AN200" s="44"/>
      <c r="AO200" s="44"/>
      <c r="AP200" s="44"/>
      <c r="AQ200" s="44"/>
      <c r="AR200" s="44"/>
      <c r="AS200" s="44"/>
      <c r="AT200" s="44"/>
      <c r="AU200" s="44"/>
      <c r="AV200" s="44"/>
      <c r="AW200" s="44"/>
      <c r="AX200" s="44"/>
      <c r="AY200" s="44"/>
      <c r="AZ200" s="44"/>
      <c r="BA200" s="44"/>
      <c r="BB200" s="44"/>
      <c r="BC200" s="44"/>
      <c r="BD200" s="44"/>
      <c r="BE200" s="44"/>
      <c r="BF200" s="44"/>
    </row>
    <row r="201" spans="2:58" x14ac:dyDescent="0.25">
      <c r="B201" s="8"/>
      <c r="C201" s="2"/>
      <c r="D201" s="2"/>
      <c r="E201" s="2"/>
      <c r="F201" s="2"/>
      <c r="G201" s="2"/>
      <c r="H201" s="2"/>
      <c r="I201" s="2"/>
      <c r="J201" s="2"/>
      <c r="K201" s="2"/>
      <c r="L201" s="2"/>
      <c r="M201" s="2"/>
      <c r="N201" s="2"/>
      <c r="O201" s="2"/>
      <c r="P201" s="2"/>
      <c r="Q201" s="9"/>
      <c r="R201" s="4"/>
      <c r="S201" s="4"/>
      <c r="T201" s="4"/>
      <c r="U201" s="113"/>
      <c r="V201" s="114"/>
      <c r="W201" s="44"/>
      <c r="X201" s="44"/>
      <c r="Y201" s="44"/>
      <c r="Z201" s="44"/>
      <c r="AA201" s="44"/>
      <c r="AB201" s="44"/>
      <c r="AC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c r="AY201" s="44"/>
      <c r="AZ201" s="44"/>
      <c r="BA201" s="44"/>
      <c r="BB201" s="44"/>
      <c r="BC201" s="44"/>
      <c r="BD201" s="44"/>
      <c r="BE201" s="44"/>
      <c r="BF201" s="44"/>
    </row>
    <row r="202" spans="2:58" x14ac:dyDescent="0.25">
      <c r="B202" s="8"/>
      <c r="C202" s="2"/>
      <c r="D202" s="2"/>
      <c r="E202" s="2"/>
      <c r="F202" s="2"/>
      <c r="G202" s="2"/>
      <c r="H202" s="2"/>
      <c r="I202" s="2"/>
      <c r="J202" s="2"/>
      <c r="K202" s="2"/>
      <c r="L202" s="2"/>
      <c r="M202" s="2"/>
      <c r="N202" s="2"/>
      <c r="O202" s="2"/>
      <c r="P202" s="2"/>
      <c r="Q202" s="9"/>
      <c r="R202" s="4"/>
      <c r="S202" s="4"/>
      <c r="T202" s="4"/>
      <c r="U202" s="113"/>
      <c r="V202" s="114"/>
      <c r="W202" s="44"/>
      <c r="X202" s="44"/>
      <c r="Y202" s="44"/>
      <c r="Z202" s="44"/>
      <c r="AA202" s="44"/>
      <c r="AB202" s="44"/>
      <c r="AC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c r="AY202" s="44"/>
      <c r="AZ202" s="44"/>
      <c r="BA202" s="44"/>
      <c r="BB202" s="44"/>
      <c r="BC202" s="44"/>
      <c r="BD202" s="44"/>
      <c r="BE202" s="44"/>
      <c r="BF202" s="44"/>
    </row>
    <row r="203" spans="2:58" x14ac:dyDescent="0.25">
      <c r="B203" s="8"/>
      <c r="C203" s="2"/>
      <c r="D203" s="2"/>
      <c r="E203" s="2"/>
      <c r="F203" s="2"/>
      <c r="G203" s="2"/>
      <c r="H203" s="2"/>
      <c r="I203" s="2"/>
      <c r="J203" s="2"/>
      <c r="K203" s="2"/>
      <c r="L203" s="2"/>
      <c r="M203" s="2"/>
      <c r="N203" s="2"/>
      <c r="O203" s="2"/>
      <c r="P203" s="2"/>
      <c r="Q203" s="9"/>
      <c r="R203" s="4"/>
      <c r="S203" s="4"/>
      <c r="T203" s="4"/>
      <c r="U203" s="113"/>
      <c r="V203" s="114"/>
      <c r="W203" s="44"/>
      <c r="X203" s="44"/>
      <c r="Y203" s="44"/>
      <c r="Z203" s="44"/>
      <c r="AA203" s="44"/>
      <c r="AB203" s="44"/>
      <c r="AC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c r="AY203" s="44"/>
      <c r="AZ203" s="44"/>
      <c r="BA203" s="44"/>
      <c r="BB203" s="44"/>
      <c r="BC203" s="44"/>
      <c r="BD203" s="44"/>
      <c r="BE203" s="44"/>
      <c r="BF203" s="44"/>
    </row>
    <row r="204" spans="2:58" x14ac:dyDescent="0.25">
      <c r="B204" s="8"/>
      <c r="C204" s="2"/>
      <c r="D204" s="2"/>
      <c r="E204" s="2"/>
      <c r="F204" s="2"/>
      <c r="G204" s="2"/>
      <c r="H204" s="2"/>
      <c r="I204" s="2"/>
      <c r="J204" s="2"/>
      <c r="K204" s="2"/>
      <c r="L204" s="2"/>
      <c r="M204" s="2"/>
      <c r="N204" s="2"/>
      <c r="O204" s="2"/>
      <c r="P204" s="2"/>
      <c r="Q204" s="9"/>
      <c r="R204" s="4"/>
      <c r="S204" s="4"/>
      <c r="T204" s="4"/>
      <c r="U204" s="113"/>
      <c r="V204" s="114"/>
      <c r="W204" s="44"/>
      <c r="X204" s="44"/>
      <c r="Y204" s="44"/>
      <c r="Z204" s="44"/>
      <c r="AA204" s="44"/>
      <c r="AB204" s="44"/>
      <c r="AC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c r="AY204" s="44"/>
      <c r="AZ204" s="44"/>
      <c r="BA204" s="44"/>
      <c r="BB204" s="44"/>
      <c r="BC204" s="44"/>
      <c r="BD204" s="44"/>
      <c r="BE204" s="44"/>
      <c r="BF204" s="44"/>
    </row>
    <row r="205" spans="2:58" x14ac:dyDescent="0.25">
      <c r="B205" s="8"/>
      <c r="C205" s="2"/>
      <c r="D205" s="2"/>
      <c r="E205" s="2"/>
      <c r="F205" s="2"/>
      <c r="G205" s="2"/>
      <c r="H205" s="2"/>
      <c r="I205" s="2"/>
      <c r="J205" s="2"/>
      <c r="K205" s="2"/>
      <c r="L205" s="2"/>
      <c r="M205" s="2"/>
      <c r="N205" s="2"/>
      <c r="O205" s="2"/>
      <c r="P205" s="2"/>
      <c r="Q205" s="9"/>
      <c r="R205" s="4"/>
      <c r="S205" s="4"/>
      <c r="T205" s="4"/>
      <c r="U205" s="113"/>
      <c r="V205" s="114"/>
      <c r="W205" s="44"/>
      <c r="X205" s="44"/>
      <c r="Y205" s="44"/>
      <c r="Z205" s="44"/>
      <c r="AA205" s="44"/>
      <c r="AB205" s="44"/>
      <c r="AC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c r="AY205" s="44"/>
      <c r="AZ205" s="44"/>
      <c r="BA205" s="44"/>
      <c r="BB205" s="44"/>
      <c r="BC205" s="44"/>
      <c r="BD205" s="44"/>
      <c r="BE205" s="44"/>
      <c r="BF205" s="44"/>
    </row>
    <row r="206" spans="2:58" x14ac:dyDescent="0.25">
      <c r="B206" s="332"/>
      <c r="C206" s="331"/>
      <c r="D206" s="331"/>
      <c r="E206" s="331"/>
      <c r="F206" s="331"/>
      <c r="G206" s="331"/>
      <c r="H206" s="331"/>
      <c r="I206" s="331"/>
      <c r="J206" s="348" t="s">
        <v>621</v>
      </c>
      <c r="K206" s="331"/>
      <c r="L206" s="331"/>
      <c r="M206" s="331"/>
      <c r="N206" s="331"/>
      <c r="O206" s="331"/>
      <c r="P206" s="331"/>
      <c r="Q206" s="347"/>
      <c r="R206" s="4"/>
      <c r="S206" s="4"/>
      <c r="T206" s="4"/>
      <c r="U206" s="113"/>
      <c r="V206" s="114"/>
      <c r="W206" s="44"/>
      <c r="X206" s="44"/>
      <c r="Y206" s="44"/>
      <c r="Z206" s="44"/>
      <c r="AA206" s="44"/>
      <c r="AB206" s="44"/>
      <c r="AC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c r="AY206" s="44"/>
      <c r="AZ206" s="44"/>
      <c r="BA206" s="44"/>
      <c r="BB206" s="44"/>
      <c r="BC206" s="44"/>
      <c r="BD206" s="44"/>
      <c r="BE206" s="44"/>
      <c r="BF206" s="44"/>
    </row>
    <row r="207" spans="2:58" ht="15.75" customHeight="1" x14ac:dyDescent="0.25">
      <c r="B207" s="340"/>
      <c r="C207" s="341"/>
      <c r="D207" s="341"/>
      <c r="E207" s="341"/>
      <c r="F207" s="341"/>
      <c r="G207" s="341"/>
      <c r="H207" s="341"/>
      <c r="I207" s="341"/>
      <c r="J207" s="341"/>
      <c r="K207" s="341"/>
      <c r="L207" s="341"/>
      <c r="M207" s="341"/>
      <c r="N207" s="429"/>
      <c r="O207" s="429"/>
      <c r="P207" s="429"/>
      <c r="Q207" s="342"/>
      <c r="T207" s="4"/>
      <c r="U207" s="48"/>
      <c r="V207" s="61"/>
      <c r="W207" s="44"/>
      <c r="X207" s="44"/>
      <c r="Y207" s="44"/>
      <c r="Z207" s="44"/>
      <c r="AA207" s="44"/>
      <c r="AB207" s="44"/>
      <c r="AC207" s="44"/>
      <c r="AD207" s="44"/>
      <c r="AE207" s="44"/>
      <c r="AF207" s="44"/>
      <c r="AG207" s="44"/>
      <c r="AH207" s="44"/>
      <c r="AI207" s="44"/>
      <c r="AJ207" s="44"/>
      <c r="AK207" s="44"/>
      <c r="AL207" s="44"/>
      <c r="AM207" s="44"/>
      <c r="AN207" s="44"/>
      <c r="AO207" s="44"/>
      <c r="AP207" s="44"/>
      <c r="AQ207" s="44"/>
      <c r="AR207" s="44"/>
      <c r="AS207" s="44"/>
      <c r="AT207" s="44"/>
      <c r="AU207" s="44"/>
      <c r="AV207" s="44"/>
      <c r="AW207" s="44"/>
      <c r="AX207" s="44"/>
      <c r="AY207" s="44"/>
      <c r="AZ207" s="44"/>
      <c r="BA207" s="44"/>
      <c r="BB207" s="44"/>
      <c r="BC207" s="44"/>
      <c r="BD207" s="44"/>
      <c r="BE207" s="44"/>
      <c r="BF207" s="44"/>
    </row>
    <row r="208" spans="2:58" x14ac:dyDescent="0.25">
      <c r="B208" s="340"/>
      <c r="C208" s="341"/>
      <c r="D208" s="341"/>
      <c r="E208" s="341"/>
      <c r="F208" s="341"/>
      <c r="G208" s="341"/>
      <c r="H208" s="341"/>
      <c r="I208" s="341"/>
      <c r="J208" s="341"/>
      <c r="K208" s="341"/>
      <c r="L208" s="341"/>
      <c r="M208" s="343"/>
      <c r="N208" s="429"/>
      <c r="O208" s="429"/>
      <c r="P208" s="429"/>
      <c r="Q208" s="342"/>
      <c r="T208" s="4"/>
      <c r="U208" s="48"/>
      <c r="V208" s="61"/>
      <c r="W208" s="44"/>
      <c r="X208" s="44"/>
      <c r="Y208" s="44"/>
      <c r="Z208" s="44"/>
      <c r="AA208" s="44"/>
      <c r="AB208" s="44"/>
      <c r="AC208" s="44"/>
      <c r="AD208" s="44"/>
      <c r="AE208" s="44"/>
      <c r="AF208" s="44"/>
      <c r="AG208" s="44"/>
      <c r="AH208" s="44"/>
      <c r="AI208" s="44"/>
      <c r="AJ208" s="44"/>
      <c r="AK208" s="44"/>
      <c r="AL208" s="44"/>
      <c r="AM208" s="44"/>
      <c r="AN208" s="44"/>
      <c r="AO208" s="44"/>
      <c r="AP208" s="44"/>
      <c r="AQ208" s="44"/>
      <c r="AR208" s="44"/>
      <c r="AS208" s="44"/>
      <c r="AT208" s="44"/>
      <c r="AU208" s="44"/>
      <c r="AV208" s="44"/>
      <c r="AW208" s="44"/>
      <c r="AX208" s="44"/>
      <c r="AY208" s="44"/>
      <c r="AZ208" s="44"/>
      <c r="BA208" s="44"/>
      <c r="BB208" s="44"/>
      <c r="BC208" s="44"/>
      <c r="BD208" s="44"/>
      <c r="BE208" s="44"/>
      <c r="BF208" s="44"/>
    </row>
    <row r="209" spans="2:58" ht="84" customHeight="1" thickBot="1" x14ac:dyDescent="0.3">
      <c r="B209" s="344"/>
      <c r="C209" s="345"/>
      <c r="D209" s="345"/>
      <c r="E209" s="345"/>
      <c r="F209" s="345"/>
      <c r="G209" s="345"/>
      <c r="H209" s="345"/>
      <c r="I209" s="345"/>
      <c r="J209" s="345"/>
      <c r="K209" s="345"/>
      <c r="L209" s="345"/>
      <c r="M209" s="345"/>
      <c r="N209" s="430"/>
      <c r="O209" s="430"/>
      <c r="P209" s="430"/>
      <c r="Q209" s="346"/>
      <c r="T209" s="4"/>
      <c r="U209" s="48"/>
      <c r="V209" s="61"/>
      <c r="W209" s="44"/>
      <c r="X209" s="44"/>
      <c r="Y209" s="44"/>
      <c r="Z209" s="44"/>
      <c r="AA209" s="44"/>
      <c r="AB209" s="44"/>
      <c r="AC209" s="44"/>
      <c r="AD209" s="44"/>
      <c r="AE209" s="44"/>
      <c r="AF209" s="44"/>
      <c r="AG209" s="44"/>
      <c r="AH209" s="44"/>
      <c r="AI209" s="44"/>
      <c r="AJ209" s="44"/>
      <c r="AK209" s="44"/>
      <c r="AL209" s="44"/>
      <c r="AM209" s="44"/>
      <c r="AN209" s="44"/>
      <c r="AO209" s="44"/>
      <c r="AP209" s="44"/>
      <c r="AQ209" s="44"/>
      <c r="AR209" s="44"/>
      <c r="AS209" s="44"/>
      <c r="AT209" s="44"/>
      <c r="AU209" s="44"/>
      <c r="AV209" s="44"/>
      <c r="AW209" s="44"/>
      <c r="AX209" s="44"/>
      <c r="AY209" s="44"/>
      <c r="AZ209" s="44"/>
      <c r="BA209" s="44"/>
      <c r="BB209" s="44"/>
      <c r="BC209" s="44"/>
      <c r="BD209" s="44"/>
      <c r="BE209" s="44"/>
      <c r="BF209" s="44"/>
    </row>
    <row r="210" spans="2:58" ht="16.5" thickBot="1" x14ac:dyDescent="0.3">
      <c r="T210" s="4"/>
      <c r="U210" s="48"/>
      <c r="V210" s="61"/>
      <c r="W210" s="44"/>
      <c r="X210" s="44"/>
      <c r="Y210" s="44"/>
      <c r="Z210" s="44"/>
      <c r="AA210" s="44"/>
      <c r="AB210" s="44"/>
      <c r="AC210" s="44"/>
      <c r="AD210" s="44"/>
      <c r="AE210" s="44"/>
      <c r="AF210" s="44"/>
      <c r="AG210" s="44"/>
      <c r="AH210" s="44"/>
      <c r="AI210" s="44"/>
      <c r="AJ210" s="44"/>
      <c r="AK210" s="44"/>
      <c r="AL210" s="44"/>
      <c r="AM210" s="44"/>
      <c r="AN210" s="44"/>
      <c r="AO210" s="44"/>
      <c r="AP210" s="44"/>
      <c r="AQ210" s="44"/>
      <c r="AR210" s="44"/>
      <c r="AS210" s="44"/>
      <c r="AT210" s="44"/>
      <c r="AU210" s="44"/>
      <c r="AV210" s="44"/>
      <c r="AW210" s="44"/>
      <c r="AX210" s="44"/>
      <c r="AY210" s="44"/>
      <c r="AZ210" s="44"/>
      <c r="BA210" s="44"/>
      <c r="BB210" s="44"/>
      <c r="BC210" s="44"/>
      <c r="BD210" s="44"/>
      <c r="BE210" s="44"/>
      <c r="BF210" s="44"/>
    </row>
    <row r="211" spans="2:58" ht="26.25" x14ac:dyDescent="0.4">
      <c r="B211" s="411" t="str">
        <f>CONCATENATE("Comparaison ",H52," - ",Choix_caisson," par rapport à : ",H219," - ",J217)</f>
        <v>Comparaison Brink - Renovent Exellent 300 par rapport à : Brink - Renovent Exellent 300</v>
      </c>
      <c r="C211" s="412"/>
      <c r="D211" s="412"/>
      <c r="E211" s="412"/>
      <c r="F211" s="412"/>
      <c r="G211" s="412"/>
      <c r="H211" s="412"/>
      <c r="I211" s="412"/>
      <c r="J211" s="412"/>
      <c r="K211" s="412"/>
      <c r="L211" s="412"/>
      <c r="M211" s="412"/>
      <c r="N211" s="412"/>
      <c r="O211" s="412"/>
      <c r="P211" s="412"/>
      <c r="Q211" s="413"/>
      <c r="R211" s="4"/>
      <c r="S211" s="4"/>
      <c r="T211" s="4"/>
      <c r="U211" s="48"/>
      <c r="V211" s="61"/>
      <c r="W211" s="44"/>
      <c r="X211" s="44"/>
      <c r="Y211" s="44"/>
      <c r="Z211" s="44"/>
      <c r="AA211" s="44"/>
      <c r="AB211" s="44"/>
      <c r="AC211" s="44"/>
      <c r="AD211" s="44"/>
      <c r="AE211" s="44"/>
      <c r="AF211" s="44"/>
      <c r="AG211" s="44"/>
      <c r="AH211" s="44"/>
      <c r="AI211" s="44"/>
      <c r="AJ211" s="44"/>
      <c r="AK211" s="44"/>
      <c r="AL211" s="44"/>
      <c r="AM211" s="44"/>
      <c r="AN211" s="44"/>
      <c r="AO211" s="44"/>
      <c r="AP211" s="44"/>
      <c r="AQ211" s="44"/>
      <c r="AR211" s="44"/>
      <c r="AS211" s="44"/>
      <c r="AT211" s="44"/>
      <c r="AU211" s="44"/>
      <c r="AV211" s="44"/>
      <c r="AW211" s="44"/>
      <c r="AX211" s="44"/>
      <c r="AY211" s="44"/>
      <c r="AZ211" s="44"/>
      <c r="BA211" s="44"/>
      <c r="BB211" s="44"/>
      <c r="BC211" s="44"/>
      <c r="BD211" s="44"/>
      <c r="BE211" s="44"/>
      <c r="BF211" s="44"/>
    </row>
    <row r="212" spans="2:58" ht="15.75" customHeight="1" x14ac:dyDescent="0.4">
      <c r="B212" s="30"/>
      <c r="C212" s="2"/>
      <c r="D212" s="2"/>
      <c r="E212" s="2"/>
      <c r="F212" s="2"/>
      <c r="G212" s="2"/>
      <c r="H212" s="2"/>
      <c r="I212" s="2"/>
      <c r="J212" s="2"/>
      <c r="K212" s="2"/>
      <c r="L212" s="3"/>
      <c r="M212" s="2"/>
      <c r="N212" s="2"/>
      <c r="O212" s="2"/>
      <c r="P212" s="2"/>
      <c r="Q212" s="9"/>
      <c r="R212" s="4"/>
      <c r="S212" s="4"/>
      <c r="T212" s="4"/>
      <c r="U212" s="48"/>
      <c r="V212" s="61"/>
      <c r="W212" s="44"/>
      <c r="X212" s="44"/>
      <c r="Y212" s="44"/>
      <c r="Z212" s="44"/>
      <c r="AA212" s="44"/>
      <c r="AB212" s="44"/>
      <c r="AC212" s="44"/>
      <c r="AD212" s="44"/>
      <c r="AE212" s="44"/>
      <c r="AF212" s="44"/>
      <c r="AG212" s="44"/>
      <c r="AH212" s="44"/>
      <c r="AI212" s="44"/>
      <c r="AJ212" s="44"/>
      <c r="AK212" s="44"/>
      <c r="AL212" s="44"/>
      <c r="AM212" s="44"/>
      <c r="AN212" s="44"/>
      <c r="AO212" s="44"/>
      <c r="AP212" s="44"/>
      <c r="AQ212" s="44"/>
      <c r="AR212" s="44"/>
      <c r="AS212" s="44"/>
      <c r="AT212" s="44"/>
      <c r="AU212" s="44"/>
      <c r="AV212" s="44"/>
      <c r="AW212" s="44"/>
      <c r="AX212" s="44"/>
      <c r="AY212" s="44"/>
      <c r="AZ212" s="44"/>
      <c r="BA212" s="44"/>
      <c r="BB212" s="44"/>
      <c r="BC212" s="44"/>
      <c r="BD212" s="44"/>
      <c r="BE212" s="44"/>
      <c r="BF212" s="44"/>
    </row>
    <row r="213" spans="2:58" ht="15.75" customHeight="1" x14ac:dyDescent="0.4">
      <c r="B213" s="30"/>
      <c r="C213" s="2"/>
      <c r="D213" s="2"/>
      <c r="E213" s="2"/>
      <c r="F213" s="2"/>
      <c r="G213" s="2"/>
      <c r="H213" s="2"/>
      <c r="I213" s="2"/>
      <c r="J213" s="2"/>
      <c r="K213" s="2"/>
      <c r="L213" s="3"/>
      <c r="M213" s="2"/>
      <c r="N213" s="2"/>
      <c r="O213" s="2"/>
      <c r="P213" s="2"/>
      <c r="Q213" s="9"/>
      <c r="R213" s="4"/>
      <c r="S213" s="4"/>
      <c r="T213" s="4"/>
      <c r="U213" s="48"/>
      <c r="V213" s="61"/>
      <c r="W213" s="44"/>
      <c r="X213" s="44"/>
      <c r="Y213" s="44"/>
      <c r="Z213" s="44"/>
      <c r="AA213" s="44"/>
      <c r="AB213" s="44"/>
      <c r="AC213" s="44"/>
      <c r="AD213" s="44"/>
      <c r="AE213" s="44"/>
      <c r="AF213" s="44"/>
      <c r="AG213" s="44"/>
      <c r="AH213" s="44"/>
      <c r="AI213" s="44"/>
      <c r="AJ213" s="44"/>
      <c r="AK213" s="44"/>
      <c r="AL213" s="44"/>
      <c r="AM213" s="44"/>
      <c r="AN213" s="44"/>
      <c r="AO213" s="44"/>
      <c r="AP213" s="44"/>
      <c r="AQ213" s="44"/>
      <c r="AR213" s="44"/>
      <c r="AS213" s="44"/>
      <c r="AT213" s="44"/>
      <c r="AU213" s="44"/>
      <c r="AV213" s="44"/>
      <c r="AW213" s="44"/>
      <c r="AX213" s="44"/>
      <c r="AY213" s="44"/>
      <c r="AZ213" s="44"/>
      <c r="BA213" s="44"/>
      <c r="BB213" s="44"/>
      <c r="BC213" s="44"/>
      <c r="BD213" s="44"/>
      <c r="BE213" s="44"/>
      <c r="BF213" s="44"/>
    </row>
    <row r="214" spans="2:58" ht="15.75" customHeight="1" x14ac:dyDescent="0.25">
      <c r="B214" s="320" t="s">
        <v>624</v>
      </c>
      <c r="C214" s="321"/>
      <c r="D214" s="322"/>
      <c r="E214" s="322"/>
      <c r="F214" s="322"/>
      <c r="G214" s="322"/>
      <c r="H214" s="322"/>
      <c r="I214" s="323"/>
      <c r="J214" s="323"/>
      <c r="K214" s="323"/>
      <c r="L214" s="323"/>
      <c r="M214" s="323"/>
      <c r="N214" s="322"/>
      <c r="O214" s="323"/>
      <c r="P214" s="323"/>
      <c r="Q214" s="323"/>
      <c r="R214" s="4"/>
      <c r="S214" s="4"/>
      <c r="T214" s="4"/>
      <c r="U214" s="48"/>
      <c r="V214" s="61"/>
      <c r="W214" s="44"/>
      <c r="X214" s="44"/>
      <c r="Y214" s="44"/>
      <c r="Z214" s="44"/>
      <c r="AA214" s="44"/>
      <c r="AB214" s="44"/>
      <c r="AC214" s="44"/>
      <c r="AD214" s="44"/>
      <c r="AE214" s="44"/>
      <c r="AF214" s="44"/>
      <c r="AG214" s="44"/>
      <c r="AH214" s="44"/>
      <c r="AI214" s="44"/>
      <c r="AJ214" s="44"/>
      <c r="AK214" s="44"/>
      <c r="AL214" s="44"/>
      <c r="AM214" s="44"/>
      <c r="AN214" s="44"/>
      <c r="AO214" s="44"/>
      <c r="AP214" s="44"/>
      <c r="AQ214" s="44"/>
      <c r="AR214" s="44"/>
      <c r="AS214" s="44"/>
      <c r="AT214" s="44"/>
      <c r="AU214" s="44"/>
      <c r="AV214" s="44"/>
      <c r="AW214" s="44"/>
      <c r="AX214" s="44"/>
      <c r="AY214" s="44"/>
      <c r="AZ214" s="44"/>
      <c r="BA214" s="44"/>
      <c r="BB214" s="44"/>
      <c r="BC214" s="44"/>
      <c r="BD214" s="44"/>
      <c r="BE214" s="44"/>
      <c r="BF214" s="44"/>
    </row>
    <row r="215" spans="2:58" ht="15.75" customHeight="1" x14ac:dyDescent="0.4">
      <c r="B215" s="30"/>
      <c r="C215" s="2"/>
      <c r="D215" s="2"/>
      <c r="E215" s="2"/>
      <c r="F215" s="2"/>
      <c r="G215" s="2"/>
      <c r="H215" s="2"/>
      <c r="I215" s="2"/>
      <c r="J215" s="2"/>
      <c r="K215" s="2"/>
      <c r="L215" s="3"/>
      <c r="M215" s="2"/>
      <c r="N215" s="2"/>
      <c r="O215" s="2"/>
      <c r="P215" s="2"/>
      <c r="Q215" s="9"/>
      <c r="R215" s="4"/>
      <c r="S215" s="4"/>
      <c r="T215" s="4"/>
      <c r="U215" s="48"/>
      <c r="V215" s="61"/>
      <c r="W215" s="44"/>
      <c r="X215" s="44"/>
      <c r="Y215" s="44"/>
      <c r="Z215" s="44"/>
      <c r="AA215" s="44"/>
      <c r="AB215" s="44"/>
      <c r="AC215" s="44"/>
      <c r="AD215" s="44"/>
      <c r="AE215" s="44"/>
      <c r="AF215" s="44"/>
      <c r="AG215" s="44"/>
      <c r="AH215" s="44"/>
      <c r="AI215" s="44"/>
      <c r="AJ215" s="44"/>
      <c r="AK215" s="44"/>
      <c r="AL215" s="44"/>
      <c r="AM215" s="44"/>
      <c r="AN215" s="44"/>
      <c r="AO215" s="44"/>
      <c r="AP215" s="44"/>
      <c r="AQ215" s="44"/>
      <c r="AR215" s="44"/>
      <c r="AS215" s="44"/>
      <c r="AT215" s="44"/>
      <c r="AU215" s="44"/>
      <c r="AV215" s="44"/>
      <c r="AW215" s="44"/>
      <c r="AX215" s="44"/>
      <c r="AY215" s="44"/>
      <c r="AZ215" s="44"/>
      <c r="BA215" s="44"/>
      <c r="BB215" s="44"/>
      <c r="BC215" s="44"/>
      <c r="BD215" s="44"/>
      <c r="BE215" s="44"/>
      <c r="BF215" s="44"/>
    </row>
    <row r="216" spans="2:58" ht="20.25" customHeight="1" x14ac:dyDescent="0.4">
      <c r="B216" s="30"/>
      <c r="C216" s="2"/>
      <c r="D216" s="2"/>
      <c r="E216" s="2"/>
      <c r="F216" s="2"/>
      <c r="G216" s="2"/>
      <c r="H216" s="183" t="s">
        <v>406</v>
      </c>
      <c r="I216" s="2"/>
      <c r="J216" s="397" t="s">
        <v>54</v>
      </c>
      <c r="K216" s="398"/>
      <c r="L216" s="398"/>
      <c r="M216" s="398"/>
      <c r="N216" s="399"/>
      <c r="O216" s="282" t="s">
        <v>489</v>
      </c>
      <c r="P216" s="2"/>
      <c r="Q216" s="9"/>
      <c r="R216" s="4"/>
      <c r="S216" s="4"/>
      <c r="T216" s="4"/>
      <c r="U216" s="48"/>
      <c r="V216" s="61"/>
      <c r="W216" s="44"/>
      <c r="X216" s="44"/>
      <c r="Y216" s="44"/>
      <c r="Z216" s="44"/>
      <c r="AA216" s="44"/>
      <c r="AB216" s="44"/>
      <c r="AC216" s="44"/>
      <c r="AD216" s="44"/>
      <c r="AE216" s="44"/>
      <c r="AF216" s="44"/>
      <c r="AG216" s="44"/>
      <c r="AH216" s="44"/>
      <c r="AI216" s="44"/>
      <c r="AJ216" s="44"/>
      <c r="AK216" s="44"/>
      <c r="AL216" s="44"/>
      <c r="AM216" s="44"/>
      <c r="AN216" s="44"/>
      <c r="AO216" s="44"/>
      <c r="AP216" s="44"/>
      <c r="AQ216" s="44"/>
      <c r="AR216" s="44"/>
      <c r="AS216" s="44"/>
      <c r="AT216" s="44"/>
      <c r="AU216" s="44"/>
      <c r="AV216" s="44"/>
      <c r="AW216" s="44"/>
      <c r="AX216" s="44"/>
      <c r="AY216" s="44"/>
      <c r="AZ216" s="44"/>
      <c r="BA216" s="44"/>
      <c r="BB216" s="44"/>
      <c r="BC216" s="44"/>
      <c r="BD216" s="44"/>
      <c r="BE216" s="44"/>
      <c r="BF216" s="44"/>
    </row>
    <row r="217" spans="2:58" ht="15.75" customHeight="1" x14ac:dyDescent="0.4">
      <c r="B217" s="30"/>
      <c r="C217" s="2"/>
      <c r="D217" s="2"/>
      <c r="E217" s="2"/>
      <c r="F217" s="2"/>
      <c r="G217" s="2"/>
      <c r="H217" s="128" t="s">
        <v>301</v>
      </c>
      <c r="I217" s="2"/>
      <c r="J217" s="423" t="s">
        <v>579</v>
      </c>
      <c r="K217" s="424"/>
      <c r="L217" s="424"/>
      <c r="M217" s="424"/>
      <c r="N217" s="425"/>
      <c r="O217" s="282" t="s">
        <v>275</v>
      </c>
      <c r="P217" s="282"/>
      <c r="Q217" s="9"/>
      <c r="R217" s="4"/>
      <c r="S217" s="4"/>
      <c r="T217" s="4"/>
      <c r="U217" s="48"/>
      <c r="V217" s="61"/>
      <c r="W217" s="44"/>
      <c r="X217" s="44"/>
      <c r="Y217" s="44"/>
      <c r="Z217" s="44"/>
      <c r="AA217" s="44"/>
      <c r="AB217" s="44"/>
      <c r="AC217" s="44"/>
      <c r="AD217" s="44"/>
      <c r="AE217" s="44"/>
      <c r="AF217" s="44"/>
      <c r="AG217" s="44"/>
      <c r="AH217" s="44"/>
      <c r="AI217" s="44"/>
      <c r="AJ217" s="44"/>
      <c r="AK217" s="44"/>
      <c r="AL217" s="44"/>
      <c r="AM217" s="44"/>
      <c r="AN217" s="44"/>
      <c r="AO217" s="44"/>
      <c r="AP217" s="44"/>
      <c r="AQ217" s="44"/>
      <c r="AR217" s="44"/>
      <c r="AS217" s="44"/>
      <c r="AT217" s="44"/>
      <c r="AU217" s="44"/>
      <c r="AV217" s="44"/>
      <c r="AW217" s="44"/>
      <c r="AX217" s="44"/>
      <c r="AY217" s="44"/>
      <c r="AZ217" s="44"/>
      <c r="BA217" s="44"/>
      <c r="BB217" s="44"/>
      <c r="BC217" s="44"/>
      <c r="BD217" s="44"/>
      <c r="BE217" s="44"/>
      <c r="BF217" s="44"/>
    </row>
    <row r="218" spans="2:58" ht="39.6" customHeight="1" x14ac:dyDescent="0.4">
      <c r="B218" s="30"/>
      <c r="C218" s="2"/>
      <c r="D218" s="2"/>
      <c r="E218" s="2"/>
      <c r="F218" s="302" t="str">
        <f>IF(J399&lt;S225,"Attention : caisson non adapté au renouvellement d'air","")</f>
        <v/>
      </c>
      <c r="G218" s="2"/>
      <c r="H218" s="2"/>
      <c r="I218" s="2"/>
      <c r="J218" s="2"/>
      <c r="K218" s="2"/>
      <c r="L218" s="303" t="str">
        <f>IF(OR(J399&lt;S225,J399&gt;S226),debit,"")</f>
        <v/>
      </c>
      <c r="M218" s="303" t="str">
        <f>IF(OR(J399&lt;S225,J399&gt;S226),"m3/h en base","")</f>
        <v/>
      </c>
      <c r="N218" s="2"/>
      <c r="O218" s="2"/>
      <c r="P218" s="2"/>
      <c r="Q218" s="9"/>
      <c r="R218" s="4"/>
      <c r="S218" s="4"/>
      <c r="T218" s="4"/>
      <c r="U218" s="48"/>
      <c r="V218" s="61"/>
      <c r="W218" s="44"/>
      <c r="X218" s="44"/>
      <c r="Y218" s="44"/>
      <c r="Z218" s="44"/>
      <c r="AA218" s="44"/>
      <c r="AB218" s="44"/>
      <c r="AC218" s="44"/>
      <c r="AD218" s="44"/>
      <c r="AE218" s="44"/>
      <c r="AF218" s="44"/>
      <c r="AG218" s="44"/>
      <c r="AH218" s="44"/>
      <c r="AI218" s="44"/>
      <c r="AJ218" s="44"/>
      <c r="AK218" s="44"/>
      <c r="AL218" s="44"/>
      <c r="AM218" s="44"/>
      <c r="AN218" s="44"/>
      <c r="AO218" s="44"/>
      <c r="AP218" s="44"/>
      <c r="AQ218" s="44"/>
      <c r="AR218" s="44"/>
      <c r="AS218" s="44"/>
      <c r="AT218" s="44"/>
      <c r="AU218" s="44"/>
      <c r="AV218" s="44"/>
      <c r="AW218" s="44"/>
      <c r="AX218" s="44"/>
      <c r="AY218" s="44"/>
      <c r="AZ218" s="44"/>
      <c r="BA218" s="44"/>
      <c r="BB218" s="44"/>
      <c r="BC218" s="44"/>
      <c r="BD218" s="44"/>
      <c r="BE218" s="44"/>
      <c r="BF218" s="44"/>
    </row>
    <row r="219" spans="2:58" ht="15.75" customHeight="1" x14ac:dyDescent="0.4">
      <c r="B219" s="30"/>
      <c r="C219" s="2"/>
      <c r="D219" s="2"/>
      <c r="E219" s="2"/>
      <c r="F219" s="439">
        <f>Valeur_Eff2</f>
        <v>0.28999999999999998</v>
      </c>
      <c r="G219" s="2"/>
      <c r="H219" s="140" t="str">
        <f>IF(ISNA(VLOOKUP(Choix_caisson2,Selection_Zone,1,0)),"",VLOOKUP(Choix_caisson2,Selection_Zone,2,0))</f>
        <v>Brink</v>
      </c>
      <c r="I219" s="405" t="str">
        <f>CONCATENATE("débits de base de ",S225," à ",S226," m3/h pour 100 Pa")</f>
        <v>débits de base de 78 à 210 m3/h pour 100 Pa</v>
      </c>
      <c r="J219" s="406"/>
      <c r="K219" s="406"/>
      <c r="L219" s="406"/>
      <c r="M219" s="407"/>
      <c r="N219" s="2"/>
      <c r="O219" s="436">
        <f>Valeur_nWRG_2</f>
        <v>0.84</v>
      </c>
      <c r="P219" s="2"/>
      <c r="Q219" s="9"/>
      <c r="R219" s="4"/>
      <c r="S219" s="4"/>
      <c r="T219" s="4"/>
      <c r="U219" s="48"/>
      <c r="V219" s="61"/>
      <c r="W219" s="44"/>
      <c r="X219" s="44"/>
      <c r="Y219" s="44"/>
      <c r="Z219" s="44"/>
      <c r="AA219" s="44"/>
      <c r="AB219" s="44"/>
      <c r="AC219" s="44"/>
      <c r="AD219" s="44"/>
      <c r="AE219" s="44"/>
      <c r="AF219" s="44"/>
      <c r="AG219" s="44"/>
      <c r="AH219" s="44"/>
      <c r="AI219" s="44"/>
      <c r="AJ219" s="44"/>
      <c r="AK219" s="44"/>
      <c r="AL219" s="44"/>
      <c r="AM219" s="44"/>
      <c r="AN219" s="44"/>
      <c r="AO219" s="44"/>
      <c r="AP219" s="44"/>
      <c r="AQ219" s="44"/>
      <c r="AR219" s="44"/>
      <c r="AS219" s="44"/>
      <c r="AT219" s="44"/>
      <c r="AU219" s="44"/>
      <c r="AV219" s="44"/>
      <c r="AW219" s="44"/>
      <c r="AX219" s="44"/>
      <c r="AY219" s="44"/>
      <c r="AZ219" s="44"/>
      <c r="BA219" s="44"/>
      <c r="BB219" s="44"/>
      <c r="BC219" s="44"/>
      <c r="BD219" s="44"/>
      <c r="BE219" s="44"/>
      <c r="BF219" s="44"/>
    </row>
    <row r="220" spans="2:58" ht="15.75" customHeight="1" x14ac:dyDescent="0.4">
      <c r="B220" s="30"/>
      <c r="C220" s="2"/>
      <c r="D220" s="2"/>
      <c r="E220" s="2"/>
      <c r="F220" s="440"/>
      <c r="G220" s="2"/>
      <c r="H220" s="40"/>
      <c r="I220" s="131" t="str">
        <f>CONCATENATE("dimensions du caisson hxlxp : ",S230," x ",S250," x ",S253)</f>
        <v>dimensions du caisson hxlxp : 765 x 677 x 564</v>
      </c>
      <c r="J220" s="132"/>
      <c r="K220" s="132"/>
      <c r="L220" s="40"/>
      <c r="M220" s="133"/>
      <c r="N220" s="2"/>
      <c r="O220" s="437"/>
      <c r="P220" s="2"/>
      <c r="Q220" s="9"/>
      <c r="R220" s="4"/>
      <c r="S220" s="4"/>
      <c r="T220" s="4"/>
      <c r="U220" s="48"/>
      <c r="V220" s="61"/>
      <c r="W220" s="44"/>
      <c r="X220" s="44"/>
      <c r="Y220" s="44"/>
      <c r="Z220" s="44"/>
      <c r="AA220" s="44"/>
      <c r="AB220" s="44"/>
      <c r="AC220" s="44"/>
      <c r="AD220" s="44"/>
      <c r="AE220" s="44"/>
      <c r="AF220" s="44"/>
      <c r="AG220" s="44"/>
      <c r="AH220" s="44"/>
      <c r="AI220" s="44"/>
      <c r="AJ220" s="44"/>
      <c r="AK220" s="44"/>
      <c r="AL220" s="44"/>
      <c r="AM220" s="44"/>
      <c r="AN220" s="44"/>
      <c r="AO220" s="44"/>
      <c r="AP220" s="44"/>
      <c r="AQ220" s="44"/>
      <c r="AR220" s="44"/>
      <c r="AS220" s="44"/>
      <c r="AT220" s="44"/>
      <c r="AU220" s="44"/>
      <c r="AV220" s="44"/>
      <c r="AW220" s="44"/>
      <c r="AX220" s="44"/>
      <c r="AY220" s="44"/>
      <c r="AZ220" s="44"/>
      <c r="BA220" s="44"/>
      <c r="BB220" s="44"/>
      <c r="BC220" s="44"/>
      <c r="BD220" s="44"/>
      <c r="BE220" s="44"/>
      <c r="BF220" s="44"/>
    </row>
    <row r="221" spans="2:58" ht="15.75" customHeight="1" x14ac:dyDescent="0.4">
      <c r="B221" s="30"/>
      <c r="C221" s="2"/>
      <c r="D221" s="2"/>
      <c r="E221" s="2"/>
      <c r="F221" s="440"/>
      <c r="G221" s="2"/>
      <c r="H221" s="40"/>
      <c r="I221" s="131" t="str">
        <f>CONCATENATE("piquages en dn : ",S254, "mm")</f>
        <v>piquages en dn : 150/160mm</v>
      </c>
      <c r="J221" s="132"/>
      <c r="K221" s="132"/>
      <c r="L221" s="40"/>
      <c r="M221" s="133"/>
      <c r="N221" s="2"/>
      <c r="O221" s="437"/>
      <c r="P221" s="2"/>
      <c r="Q221" s="9"/>
      <c r="R221" s="4"/>
      <c r="S221" s="4"/>
      <c r="T221" s="4"/>
      <c r="U221" s="48"/>
      <c r="V221" s="61"/>
      <c r="W221" s="44"/>
      <c r="X221" s="44"/>
      <c r="Y221" s="44"/>
      <c r="Z221" s="44"/>
      <c r="AA221" s="44"/>
      <c r="AB221" s="44"/>
      <c r="AC221" s="44"/>
      <c r="AD221" s="44"/>
      <c r="AE221" s="44"/>
      <c r="AF221" s="44"/>
      <c r="AG221" s="44"/>
      <c r="AH221" s="44"/>
      <c r="AI221" s="44"/>
      <c r="AJ221" s="44"/>
      <c r="AK221" s="44"/>
      <c r="AL221" s="44"/>
      <c r="AM221" s="44"/>
      <c r="AN221" s="44"/>
      <c r="AO221" s="44"/>
      <c r="AP221" s="44"/>
      <c r="AQ221" s="44"/>
      <c r="AR221" s="44"/>
      <c r="AS221" s="44"/>
      <c r="AT221" s="44"/>
      <c r="AU221" s="44"/>
      <c r="AV221" s="44"/>
      <c r="AW221" s="44"/>
      <c r="AX221" s="44"/>
      <c r="AY221" s="44"/>
      <c r="AZ221" s="44"/>
      <c r="BA221" s="44"/>
      <c r="BB221" s="44"/>
      <c r="BC221" s="44"/>
      <c r="BD221" s="44"/>
      <c r="BE221" s="44"/>
      <c r="BF221" s="44"/>
    </row>
    <row r="222" spans="2:58" ht="15.75" customHeight="1" x14ac:dyDescent="0.4">
      <c r="B222" s="30"/>
      <c r="C222" s="2"/>
      <c r="D222" s="2"/>
      <c r="E222" s="2"/>
      <c r="F222" s="441"/>
      <c r="G222" s="2"/>
      <c r="H222" s="40"/>
      <c r="I222" s="134" t="str">
        <f>CONCATENATE("Certificats : PHI ",S256, " - NFVMC : ",S255)</f>
        <v>Certificats : PHI oui - NFVMC : oui</v>
      </c>
      <c r="J222" s="40"/>
      <c r="K222" s="40"/>
      <c r="L222" s="40"/>
      <c r="M222" s="133"/>
      <c r="N222" s="2"/>
      <c r="O222" s="438"/>
      <c r="P222" s="2"/>
      <c r="Q222" s="9"/>
      <c r="R222" s="4"/>
      <c r="S222" s="4"/>
      <c r="T222" s="4"/>
      <c r="U222" s="48"/>
      <c r="V222" s="61"/>
      <c r="W222" s="44"/>
      <c r="X222" s="44"/>
      <c r="Y222" s="44"/>
      <c r="Z222" s="44"/>
      <c r="AA222" s="44"/>
      <c r="AB222" s="44"/>
      <c r="AC222" s="44"/>
      <c r="AD222" s="44"/>
      <c r="AE222" s="44"/>
      <c r="AF222" s="44"/>
      <c r="AG222" s="44"/>
      <c r="AH222" s="44"/>
      <c r="AI222" s="44"/>
      <c r="AJ222" s="44"/>
      <c r="AK222" s="44"/>
      <c r="AL222" s="44"/>
      <c r="AM222" s="44"/>
      <c r="AN222" s="44"/>
      <c r="AO222" s="44"/>
      <c r="AP222" s="44"/>
      <c r="AQ222" s="44"/>
      <c r="AR222" s="44"/>
      <c r="AS222" s="44"/>
      <c r="AT222" s="44"/>
      <c r="AU222" s="44"/>
      <c r="AV222" s="44"/>
      <c r="AW222" s="44"/>
      <c r="AX222" s="44"/>
      <c r="AY222" s="44"/>
      <c r="AZ222" s="44"/>
      <c r="BA222" s="44"/>
      <c r="BB222" s="44"/>
      <c r="BC222" s="44"/>
      <c r="BD222" s="44"/>
      <c r="BE222" s="44"/>
      <c r="BF222" s="44"/>
    </row>
    <row r="223" spans="2:58" ht="15.75" customHeight="1" x14ac:dyDescent="0.4">
      <c r="B223" s="30"/>
      <c r="C223" s="2"/>
      <c r="D223" s="2"/>
      <c r="E223" s="2"/>
      <c r="F223" s="138" t="s">
        <v>64</v>
      </c>
      <c r="G223" s="2"/>
      <c r="H223" s="2"/>
      <c r="I223" s="2"/>
      <c r="J223" s="2"/>
      <c r="K223" s="2"/>
      <c r="L223" s="3"/>
      <c r="M223" s="2"/>
      <c r="N223" s="2"/>
      <c r="O223" s="138" t="s">
        <v>324</v>
      </c>
      <c r="P223" s="2"/>
      <c r="Q223" s="9"/>
      <c r="R223" s="4"/>
      <c r="S223" s="4"/>
      <c r="T223" s="4"/>
      <c r="U223" s="48"/>
      <c r="V223" s="61"/>
      <c r="W223" s="44"/>
      <c r="X223" s="44"/>
      <c r="Y223" s="44"/>
      <c r="Z223" s="44"/>
      <c r="AA223" s="44"/>
      <c r="AB223" s="44"/>
      <c r="AC223" s="44"/>
      <c r="AD223" s="44"/>
      <c r="AE223" s="44"/>
      <c r="AF223" s="44"/>
      <c r="AG223" s="44"/>
      <c r="AH223" s="44"/>
      <c r="AI223" s="44"/>
      <c r="AJ223" s="44"/>
      <c r="AK223" s="44"/>
      <c r="AL223" s="44"/>
      <c r="AM223" s="44"/>
      <c r="AN223" s="44"/>
      <c r="AO223" s="44"/>
      <c r="AP223" s="44"/>
      <c r="AQ223" s="44"/>
      <c r="AR223" s="44"/>
      <c r="AS223" s="44"/>
      <c r="AT223" s="44"/>
      <c r="AU223" s="44"/>
      <c r="AV223" s="44"/>
      <c r="AW223" s="44"/>
      <c r="AX223" s="44"/>
      <c r="AY223" s="44"/>
      <c r="AZ223" s="44"/>
      <c r="BA223" s="44"/>
      <c r="BB223" s="44"/>
      <c r="BC223" s="44"/>
      <c r="BD223" s="44"/>
      <c r="BE223" s="44"/>
      <c r="BF223" s="44"/>
    </row>
    <row r="224" spans="2:58" ht="15.75" customHeight="1" x14ac:dyDescent="0.25">
      <c r="B224" s="8"/>
      <c r="C224" s="2"/>
      <c r="D224" s="2"/>
      <c r="E224" s="2"/>
      <c r="F224" s="2"/>
      <c r="G224" s="2"/>
      <c r="H224" s="2"/>
      <c r="I224" s="16" t="s">
        <v>124</v>
      </c>
      <c r="J224" s="16"/>
      <c r="K224" s="16"/>
      <c r="L224" s="57" t="s">
        <v>60</v>
      </c>
      <c r="O224" s="2"/>
      <c r="P224" s="2"/>
      <c r="Q224" s="9"/>
      <c r="R224" s="4"/>
      <c r="S224" s="4"/>
      <c r="T224" s="4"/>
      <c r="U224" s="48"/>
      <c r="V224" s="61"/>
      <c r="W224" s="44"/>
      <c r="X224" s="44"/>
      <c r="Y224" s="44"/>
      <c r="Z224" s="44"/>
      <c r="AA224" s="44"/>
      <c r="AB224" s="44"/>
      <c r="AC224" s="44"/>
      <c r="AD224" s="44"/>
      <c r="AE224" s="44"/>
      <c r="AF224" s="44"/>
      <c r="AG224" s="44"/>
      <c r="AH224" s="44"/>
      <c r="AI224" s="44"/>
      <c r="AJ224" s="44"/>
      <c r="AK224" s="44"/>
      <c r="AL224" s="44"/>
      <c r="AM224" s="44"/>
      <c r="AN224" s="44"/>
      <c r="AO224" s="44"/>
      <c r="AP224" s="44"/>
      <c r="AQ224" s="44"/>
      <c r="AR224" s="44"/>
      <c r="AS224" s="44"/>
      <c r="AT224" s="44"/>
      <c r="AU224" s="44"/>
      <c r="AV224" s="44"/>
      <c r="AW224" s="44"/>
      <c r="AX224" s="44"/>
      <c r="AY224" s="44"/>
      <c r="AZ224" s="44"/>
      <c r="BA224" s="44"/>
      <c r="BB224" s="44"/>
      <c r="BC224" s="44"/>
      <c r="BD224" s="44"/>
      <c r="BE224" s="44"/>
      <c r="BF224" s="44"/>
    </row>
    <row r="225" spans="2:58" x14ac:dyDescent="0.25">
      <c r="B225" s="102" t="s">
        <v>177</v>
      </c>
      <c r="C225" s="16" t="s">
        <v>280</v>
      </c>
      <c r="D225" s="2"/>
      <c r="E225" s="2"/>
      <c r="F225" s="2"/>
      <c r="G225" s="2"/>
      <c r="H225" s="2"/>
      <c r="I225" s="54" t="s">
        <v>101</v>
      </c>
      <c r="J225" s="2"/>
      <c r="K225" s="2"/>
      <c r="L225" s="419" t="s">
        <v>61</v>
      </c>
      <c r="M225" s="420"/>
      <c r="N225" s="420"/>
      <c r="O225" s="421"/>
      <c r="P225" s="2"/>
      <c r="Q225" s="9"/>
      <c r="R225" s="4"/>
      <c r="S225" s="16">
        <f>IF(ISNA(VLOOKUP(Choix_caisson2,Selection_Zone,1,0)),"",VLOOKUP(Choix_caisson2,Selection_Zone,3,0))</f>
        <v>78</v>
      </c>
      <c r="T225" s="4"/>
      <c r="U225" s="48"/>
      <c r="V225" s="61"/>
      <c r="W225" s="44"/>
      <c r="X225" s="44"/>
      <c r="Y225" s="44"/>
      <c r="Z225" s="44"/>
      <c r="AA225" s="44"/>
      <c r="AB225" s="44"/>
      <c r="AC225" s="44"/>
      <c r="AD225" s="44"/>
      <c r="AE225" s="44"/>
      <c r="AF225" s="44"/>
      <c r="AG225" s="44"/>
      <c r="AH225" s="44"/>
      <c r="AI225" s="44"/>
      <c r="AJ225" s="44"/>
      <c r="AK225" s="44"/>
      <c r="AL225" s="44"/>
      <c r="AM225" s="44"/>
      <c r="AN225" s="44"/>
      <c r="AO225" s="44"/>
      <c r="AP225" s="44"/>
      <c r="AQ225" s="44"/>
      <c r="AR225" s="44"/>
      <c r="AS225" s="44"/>
      <c r="AT225" s="44"/>
      <c r="AU225" s="44"/>
      <c r="AV225" s="44"/>
      <c r="AW225" s="44"/>
      <c r="AX225" s="44"/>
      <c r="AY225" s="44"/>
      <c r="AZ225" s="44"/>
      <c r="BA225" s="44"/>
      <c r="BB225" s="44"/>
      <c r="BC225" s="44"/>
      <c r="BD225" s="44"/>
      <c r="BE225" s="44"/>
      <c r="BF225" s="44"/>
    </row>
    <row r="226" spans="2:58" x14ac:dyDescent="0.25">
      <c r="B226" s="63" t="str">
        <f>IF(J399&gt;S226,"Attention : caisson non adapté au renouvellement d'air","")</f>
        <v/>
      </c>
      <c r="C226" s="2"/>
      <c r="D226" s="2"/>
      <c r="E226" s="2"/>
      <c r="F226" s="2"/>
      <c r="G226" s="2"/>
      <c r="H226" s="2"/>
      <c r="I226" s="54" t="s">
        <v>517</v>
      </c>
      <c r="J226" s="2"/>
      <c r="K226" s="2"/>
      <c r="L226" s="419" t="s">
        <v>244</v>
      </c>
      <c r="M226" s="420"/>
      <c r="N226" s="420"/>
      <c r="O226" s="421"/>
      <c r="P226" s="2"/>
      <c r="Q226" s="9"/>
      <c r="R226" s="4"/>
      <c r="S226" s="16">
        <f>IF(ISNA(VLOOKUP(Choix_caisson2,Selection_Zone,1,0)),"",VLOOKUP(Choix_caisson2,Selection_Zone,4,0))</f>
        <v>210</v>
      </c>
      <c r="T226" s="4"/>
      <c r="U226" s="48"/>
      <c r="V226" s="61"/>
      <c r="W226" s="44"/>
      <c r="X226" s="44"/>
      <c r="Y226" s="44"/>
      <c r="Z226" s="44"/>
      <c r="AA226" s="44"/>
      <c r="AB226" s="44"/>
      <c r="AC226" s="44"/>
      <c r="AD226" s="44"/>
      <c r="AE226" s="44"/>
      <c r="AF226" s="44"/>
      <c r="AG226" s="44"/>
      <c r="AH226" s="44"/>
      <c r="AI226" s="44"/>
      <c r="AJ226" s="44"/>
      <c r="AK226" s="44"/>
      <c r="AL226" s="44"/>
      <c r="AM226" s="44"/>
      <c r="AN226" s="44"/>
      <c r="AO226" s="44"/>
      <c r="AP226" s="44"/>
      <c r="AQ226" s="44"/>
      <c r="AR226" s="44"/>
      <c r="AS226" s="44"/>
      <c r="AT226" s="44"/>
      <c r="AU226" s="44"/>
      <c r="AV226" s="44"/>
      <c r="AW226" s="44"/>
      <c r="AX226" s="44"/>
      <c r="AY226" s="44"/>
      <c r="AZ226" s="44"/>
      <c r="BA226" s="44"/>
      <c r="BB226" s="44"/>
      <c r="BC226" s="44"/>
      <c r="BD226" s="44"/>
      <c r="BE226" s="44"/>
      <c r="BF226" s="44"/>
    </row>
    <row r="227" spans="2:58" x14ac:dyDescent="0.25">
      <c r="B227" s="63"/>
      <c r="C227" s="2"/>
      <c r="D227" s="2"/>
      <c r="E227" s="2"/>
      <c r="F227" s="2"/>
      <c r="G227" s="2"/>
      <c r="H227" s="2"/>
      <c r="I227" s="2"/>
      <c r="J227" s="2"/>
      <c r="K227" s="2"/>
      <c r="L227" s="2"/>
      <c r="M227" s="2"/>
      <c r="N227" s="2"/>
      <c r="O227" s="2"/>
      <c r="P227" s="2"/>
      <c r="Q227" s="9"/>
      <c r="R227" s="4"/>
      <c r="S227" s="16"/>
      <c r="T227" s="4"/>
      <c r="U227" s="48"/>
      <c r="V227" s="61"/>
      <c r="W227" s="44"/>
      <c r="X227" s="44"/>
      <c r="Y227" s="44"/>
      <c r="Z227" s="44"/>
      <c r="AA227" s="44"/>
      <c r="AB227" s="44"/>
      <c r="AC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c r="AY227" s="44"/>
      <c r="AZ227" s="44"/>
      <c r="BA227" s="44"/>
      <c r="BB227" s="44"/>
      <c r="BC227" s="44"/>
      <c r="BD227" s="44"/>
      <c r="BE227" s="44"/>
      <c r="BF227" s="44"/>
    </row>
    <row r="228" spans="2:58" x14ac:dyDescent="0.25">
      <c r="B228" s="63"/>
      <c r="C228" s="2"/>
      <c r="D228" s="2"/>
      <c r="E228" s="2"/>
      <c r="F228" s="2"/>
      <c r="G228" s="2"/>
      <c r="H228" s="2"/>
      <c r="I228" s="2"/>
      <c r="J228" s="2"/>
      <c r="K228" s="2"/>
      <c r="L228" s="2"/>
      <c r="M228" s="2"/>
      <c r="N228" s="2"/>
      <c r="O228" s="2"/>
      <c r="P228" s="2"/>
      <c r="Q228" s="9"/>
      <c r="R228" s="4"/>
      <c r="S228" s="16"/>
      <c r="T228" s="4"/>
      <c r="U228" s="48"/>
      <c r="V228" s="61"/>
      <c r="W228" s="44"/>
      <c r="X228" s="44"/>
      <c r="Y228" s="44"/>
      <c r="Z228" s="44"/>
      <c r="AA228" s="44"/>
      <c r="AB228" s="44"/>
      <c r="AC228" s="44"/>
      <c r="AD228" s="44"/>
      <c r="AE228" s="44"/>
      <c r="AF228" s="44"/>
      <c r="AG228" s="44"/>
      <c r="AH228" s="44"/>
      <c r="AI228" s="44"/>
      <c r="AJ228" s="44"/>
      <c r="AK228" s="44"/>
      <c r="AL228" s="44"/>
      <c r="AM228" s="44"/>
      <c r="AN228" s="44"/>
      <c r="AO228" s="44"/>
      <c r="AP228" s="44"/>
      <c r="AQ228" s="44"/>
      <c r="AR228" s="44"/>
      <c r="AS228" s="44"/>
      <c r="AT228" s="44"/>
      <c r="AU228" s="44"/>
      <c r="AV228" s="44"/>
      <c r="AW228" s="44"/>
      <c r="AX228" s="44"/>
      <c r="AY228" s="44"/>
      <c r="AZ228" s="44"/>
      <c r="BA228" s="44"/>
      <c r="BB228" s="44"/>
      <c r="BC228" s="44"/>
      <c r="BD228" s="44"/>
      <c r="BE228" s="44"/>
      <c r="BF228" s="44"/>
    </row>
    <row r="229" spans="2:58" ht="20.25" x14ac:dyDescent="0.25">
      <c r="B229" s="320" t="s">
        <v>623</v>
      </c>
      <c r="C229" s="321"/>
      <c r="D229" s="322"/>
      <c r="E229" s="322"/>
      <c r="F229" s="322"/>
      <c r="G229" s="322"/>
      <c r="H229" s="322"/>
      <c r="I229" s="323"/>
      <c r="J229" s="323"/>
      <c r="K229" s="323"/>
      <c r="L229" s="323"/>
      <c r="M229" s="323"/>
      <c r="N229" s="322"/>
      <c r="O229" s="323"/>
      <c r="P229" s="323"/>
      <c r="Q229" s="323"/>
      <c r="R229" s="4"/>
      <c r="S229" s="16"/>
      <c r="T229" s="4"/>
      <c r="U229" s="48"/>
      <c r="V229" s="61"/>
      <c r="W229" s="44"/>
      <c r="X229" s="44"/>
      <c r="Y229" s="44"/>
      <c r="Z229" s="44"/>
      <c r="AA229" s="44"/>
      <c r="AB229" s="44"/>
      <c r="AC229" s="44"/>
      <c r="AD229" s="44"/>
      <c r="AE229" s="44"/>
      <c r="AF229" s="44"/>
      <c r="AG229" s="44"/>
      <c r="AH229" s="44"/>
      <c r="AI229" s="44"/>
      <c r="AJ229" s="44"/>
      <c r="AK229" s="44"/>
      <c r="AL229" s="44"/>
      <c r="AM229" s="44"/>
      <c r="AN229" s="44"/>
      <c r="AO229" s="44"/>
      <c r="AP229" s="44"/>
      <c r="AQ229" s="44"/>
      <c r="AR229" s="44"/>
      <c r="AS229" s="44"/>
      <c r="AT229" s="44"/>
      <c r="AU229" s="44"/>
      <c r="AV229" s="44"/>
      <c r="AW229" s="44"/>
      <c r="AX229" s="44"/>
      <c r="AY229" s="44"/>
      <c r="AZ229" s="44"/>
      <c r="BA229" s="44"/>
      <c r="BB229" s="44"/>
      <c r="BC229" s="44"/>
      <c r="BD229" s="44"/>
      <c r="BE229" s="44"/>
      <c r="BF229" s="44"/>
    </row>
    <row r="230" spans="2:58" x14ac:dyDescent="0.25">
      <c r="B230" s="63"/>
      <c r="C230" s="2"/>
      <c r="D230" s="2"/>
      <c r="E230" s="2"/>
      <c r="F230" s="2"/>
      <c r="G230" s="2"/>
      <c r="H230" s="2"/>
      <c r="I230" s="2"/>
      <c r="J230" s="2"/>
      <c r="K230" s="2"/>
      <c r="L230" s="2"/>
      <c r="M230" s="2"/>
      <c r="N230" s="2"/>
      <c r="O230" s="2"/>
      <c r="P230" s="2"/>
      <c r="Q230" s="9"/>
      <c r="R230" s="4"/>
      <c r="S230" s="16">
        <f>IF(ISNA(VLOOKUP(Choix_caisson2,Selection_Zone,1,0)),"",VLOOKUP(Choix_caisson2,Selection_Zone,14,0))</f>
        <v>765</v>
      </c>
      <c r="T230" s="4"/>
      <c r="U230" s="48"/>
      <c r="V230" s="61"/>
      <c r="W230" s="44"/>
      <c r="X230" s="44"/>
      <c r="Y230" s="44"/>
      <c r="Z230" s="44"/>
      <c r="AA230" s="44"/>
      <c r="AB230" s="44"/>
      <c r="AC230" s="44"/>
      <c r="AD230" s="44"/>
      <c r="AE230" s="44"/>
      <c r="AF230" s="44"/>
      <c r="AG230" s="44"/>
      <c r="AH230" s="44"/>
      <c r="AI230" s="44"/>
      <c r="AJ230" s="44"/>
      <c r="AK230" s="44"/>
      <c r="AL230" s="44"/>
      <c r="AM230" s="44"/>
      <c r="AN230" s="44"/>
      <c r="AO230" s="44"/>
      <c r="AP230" s="44"/>
      <c r="AQ230" s="44"/>
      <c r="AR230" s="44"/>
      <c r="AS230" s="44"/>
      <c r="AT230" s="44"/>
      <c r="AU230" s="44"/>
      <c r="AV230" s="44"/>
      <c r="AW230" s="44"/>
      <c r="AX230" s="44"/>
      <c r="AY230" s="44"/>
      <c r="AZ230" s="44"/>
      <c r="BA230" s="44"/>
      <c r="BB230" s="44"/>
      <c r="BC230" s="44"/>
      <c r="BD230" s="44"/>
      <c r="BE230" s="44"/>
      <c r="BF230" s="44"/>
    </row>
    <row r="231" spans="2:58" x14ac:dyDescent="0.25">
      <c r="B231" s="63"/>
      <c r="C231" s="2"/>
      <c r="D231" s="141"/>
      <c r="E231" s="2" t="s">
        <v>214</v>
      </c>
      <c r="F231" s="2"/>
      <c r="G231" s="2"/>
      <c r="H231" s="2"/>
      <c r="I231" s="2"/>
      <c r="J231" s="2"/>
      <c r="K231" s="2"/>
      <c r="L231" s="2"/>
      <c r="M231" s="2"/>
      <c r="N231" s="2"/>
      <c r="O231" s="2"/>
      <c r="P231" s="2"/>
      <c r="Q231" s="9"/>
      <c r="R231" s="4"/>
      <c r="S231" s="16"/>
      <c r="T231" s="4"/>
      <c r="U231" s="48"/>
      <c r="V231" s="61"/>
      <c r="W231" s="44"/>
      <c r="X231" s="44"/>
      <c r="Y231" s="44"/>
      <c r="Z231" s="44"/>
      <c r="AA231" s="44"/>
      <c r="AB231" s="44"/>
      <c r="AC231" s="44"/>
      <c r="AD231" s="44"/>
      <c r="AE231" s="44"/>
      <c r="AF231" s="44"/>
      <c r="AG231" s="44"/>
      <c r="AH231" s="44"/>
      <c r="AI231" s="44"/>
      <c r="AJ231" s="44"/>
      <c r="AK231" s="44"/>
      <c r="AL231" s="44"/>
      <c r="AM231" s="44"/>
      <c r="AN231" s="44"/>
      <c r="AO231" s="44"/>
      <c r="AP231" s="44"/>
      <c r="AQ231" s="44"/>
      <c r="AR231" s="44"/>
      <c r="AS231" s="44"/>
      <c r="AT231" s="44"/>
      <c r="AU231" s="44"/>
      <c r="AV231" s="44"/>
      <c r="AW231" s="44"/>
      <c r="AX231" s="44"/>
      <c r="AY231" s="44"/>
      <c r="AZ231" s="44"/>
      <c r="BA231" s="44"/>
      <c r="BB231" s="44"/>
      <c r="BC231" s="44"/>
      <c r="BD231" s="44"/>
      <c r="BE231" s="44"/>
      <c r="BF231" s="44"/>
    </row>
    <row r="232" spans="2:58" x14ac:dyDescent="0.25">
      <c r="B232" s="63"/>
      <c r="C232" s="2"/>
      <c r="D232" s="2"/>
      <c r="E232" s="2"/>
      <c r="F232" s="2"/>
      <c r="G232" s="2"/>
      <c r="H232" s="143"/>
      <c r="I232" s="2"/>
      <c r="J232" s="2"/>
      <c r="K232" s="2"/>
      <c r="L232" s="2"/>
      <c r="M232" s="2"/>
      <c r="N232" s="2"/>
      <c r="O232" s="2"/>
      <c r="P232" s="2"/>
      <c r="Q232" s="9"/>
      <c r="R232" s="4"/>
      <c r="S232" s="16"/>
      <c r="T232" s="4"/>
      <c r="U232" s="48"/>
      <c r="V232" s="61"/>
      <c r="W232" s="44"/>
      <c r="X232" s="44"/>
      <c r="Y232" s="44"/>
      <c r="Z232" s="44"/>
      <c r="AA232" s="44"/>
      <c r="AB232" s="44"/>
      <c r="AC232" s="44"/>
      <c r="AD232" s="44"/>
      <c r="AE232" s="44"/>
      <c r="AF232" s="44"/>
      <c r="AG232" s="44"/>
      <c r="AH232" s="44"/>
      <c r="AI232" s="44"/>
      <c r="AJ232" s="44"/>
      <c r="AK232" s="44"/>
      <c r="AL232" s="44"/>
      <c r="AM232" s="44"/>
      <c r="AN232" s="44"/>
      <c r="AO232" s="44"/>
      <c r="AP232" s="44"/>
      <c r="AQ232" s="44"/>
      <c r="AR232" s="44"/>
      <c r="AS232" s="44"/>
      <c r="AT232" s="44"/>
      <c r="AU232" s="44"/>
      <c r="AV232" s="44"/>
      <c r="AW232" s="44"/>
      <c r="AX232" s="44"/>
      <c r="AY232" s="44"/>
      <c r="AZ232" s="44"/>
      <c r="BA232" s="44"/>
      <c r="BB232" s="44"/>
      <c r="BC232" s="44"/>
      <c r="BD232" s="44"/>
      <c r="BE232" s="44"/>
      <c r="BF232" s="44"/>
    </row>
    <row r="233" spans="2:58" x14ac:dyDescent="0.25">
      <c r="B233" s="63"/>
      <c r="C233" s="16"/>
      <c r="D233" s="143"/>
      <c r="E233" s="143"/>
      <c r="F233" s="414" t="str">
        <f>Choix_caisson</f>
        <v>Renovent Exellent 300</v>
      </c>
      <c r="G233" s="414"/>
      <c r="H233" s="189" t="str">
        <f>IF(taux_corrige_vent=0.15,"hygro","")</f>
        <v/>
      </c>
      <c r="I233" s="2"/>
      <c r="J233" s="408" t="str">
        <f>Choix_caisson2</f>
        <v>Renovent Exellent 300</v>
      </c>
      <c r="K233" s="408"/>
      <c r="L233" s="144" t="str">
        <f>IF(taux_corrige_vent2=0.15,"hygro","")</f>
        <v/>
      </c>
      <c r="M233" s="144"/>
      <c r="N233" s="144"/>
      <c r="O233" s="144"/>
      <c r="P233" s="145"/>
      <c r="Q233" s="9"/>
      <c r="R233" s="4"/>
      <c r="S233" s="16"/>
      <c r="T233" s="4"/>
      <c r="U233" s="48"/>
      <c r="V233" s="61"/>
      <c r="W233" s="44"/>
      <c r="X233" s="44"/>
      <c r="Y233" s="44"/>
      <c r="Z233" s="44"/>
      <c r="AA233" s="44"/>
      <c r="AB233" s="44"/>
      <c r="AC233" s="44"/>
      <c r="AD233" s="44"/>
      <c r="AE233" s="44"/>
      <c r="AF233" s="44"/>
      <c r="AG233" s="44"/>
      <c r="AH233" s="44"/>
      <c r="AI233" s="44"/>
      <c r="AJ233" s="44"/>
      <c r="AK233" s="44"/>
      <c r="AL233" s="44"/>
      <c r="AM233" s="44"/>
      <c r="AN233" s="44"/>
      <c r="AO233" s="44"/>
      <c r="AP233" s="44"/>
      <c r="AQ233" s="44"/>
      <c r="AR233" s="44"/>
      <c r="AS233" s="44"/>
      <c r="AT233" s="44"/>
      <c r="AU233" s="44"/>
      <c r="AV233" s="44"/>
      <c r="AW233" s="44"/>
      <c r="AX233" s="44"/>
      <c r="AY233" s="44"/>
      <c r="AZ233" s="44"/>
      <c r="BA233" s="44"/>
      <c r="BB233" s="44"/>
      <c r="BC233" s="44"/>
      <c r="BD233" s="44"/>
      <c r="BE233" s="44"/>
      <c r="BF233" s="44"/>
    </row>
    <row r="234" spans="2:58" x14ac:dyDescent="0.25">
      <c r="B234" s="63"/>
      <c r="C234" s="142"/>
      <c r="D234" s="142"/>
      <c r="E234" s="142"/>
      <c r="F234" s="142"/>
      <c r="G234" s="142"/>
      <c r="H234" s="142"/>
      <c r="I234" s="2"/>
      <c r="J234" s="2"/>
      <c r="K234" s="2"/>
      <c r="L234" s="2"/>
      <c r="M234" s="2"/>
      <c r="N234" s="2"/>
      <c r="O234" s="2"/>
      <c r="P234" s="2"/>
      <c r="Q234" s="9"/>
      <c r="R234" s="4"/>
      <c r="S234" s="16"/>
      <c r="T234" s="4"/>
      <c r="U234" s="48"/>
      <c r="V234" s="61"/>
      <c r="W234" s="44"/>
      <c r="X234" s="44"/>
      <c r="Y234" s="44"/>
      <c r="Z234" s="44"/>
      <c r="AA234" s="44"/>
      <c r="AB234" s="44"/>
      <c r="AC234" s="44"/>
      <c r="AD234" s="44"/>
      <c r="AE234" s="44"/>
      <c r="AF234" s="44"/>
      <c r="AG234" s="44"/>
      <c r="AH234" s="44"/>
      <c r="AI234" s="44"/>
      <c r="AJ234" s="44"/>
      <c r="AK234" s="44"/>
      <c r="AL234" s="44"/>
      <c r="AM234" s="44"/>
      <c r="AN234" s="44"/>
      <c r="AO234" s="44"/>
      <c r="AP234" s="44"/>
      <c r="AQ234" s="44"/>
      <c r="AR234" s="44"/>
      <c r="AS234" s="44"/>
      <c r="AT234" s="44"/>
      <c r="AU234" s="44"/>
      <c r="AV234" s="44"/>
      <c r="AW234" s="44"/>
      <c r="AX234" s="44"/>
      <c r="AY234" s="44"/>
      <c r="AZ234" s="44"/>
      <c r="BA234" s="44"/>
      <c r="BB234" s="44"/>
      <c r="BC234" s="44"/>
      <c r="BD234" s="44"/>
      <c r="BE234" s="44"/>
      <c r="BF234" s="44"/>
    </row>
    <row r="235" spans="2:58" x14ac:dyDescent="0.25">
      <c r="B235" s="63"/>
      <c r="C235" s="319" t="s">
        <v>64</v>
      </c>
      <c r="E235" s="2"/>
      <c r="F235" s="359">
        <f>J112</f>
        <v>0.28999999999999998</v>
      </c>
      <c r="G235" s="365" t="s">
        <v>47</v>
      </c>
      <c r="H235" s="145"/>
      <c r="I235" s="2"/>
      <c r="J235" s="1">
        <f>C257</f>
        <v>0.28999999999999998</v>
      </c>
      <c r="K235" s="367" t="s">
        <v>47</v>
      </c>
      <c r="L235" s="318"/>
      <c r="M235" s="2"/>
      <c r="N235" s="2"/>
      <c r="O235" s="2"/>
      <c r="P235" s="2"/>
      <c r="Q235" s="9"/>
      <c r="R235" s="4"/>
      <c r="S235" s="16"/>
      <c r="T235" s="4"/>
      <c r="U235" s="48"/>
      <c r="V235" s="61"/>
      <c r="W235" s="44"/>
      <c r="X235" s="44"/>
      <c r="Y235" s="44"/>
      <c r="Z235" s="44"/>
      <c r="AA235" s="44"/>
      <c r="AB235" s="44"/>
      <c r="AC235" s="44"/>
      <c r="AD235" s="44"/>
      <c r="AE235" s="44"/>
      <c r="AF235" s="44"/>
      <c r="AG235" s="44"/>
      <c r="AH235" s="44"/>
      <c r="AI235" s="44"/>
      <c r="AJ235" s="44"/>
      <c r="AK235" s="44"/>
      <c r="AL235" s="44"/>
      <c r="AM235" s="44"/>
      <c r="AN235" s="44"/>
      <c r="AO235" s="44"/>
      <c r="AP235" s="44"/>
      <c r="AQ235" s="44"/>
      <c r="AR235" s="44"/>
      <c r="AS235" s="44"/>
      <c r="AT235" s="44"/>
      <c r="AU235" s="44"/>
      <c r="AV235" s="44"/>
      <c r="AW235" s="44"/>
      <c r="AX235" s="44"/>
      <c r="AY235" s="44"/>
      <c r="AZ235" s="44"/>
      <c r="BA235" s="44"/>
      <c r="BB235" s="44"/>
      <c r="BC235" s="44"/>
      <c r="BD235" s="44"/>
      <c r="BE235" s="44"/>
      <c r="BF235" s="44"/>
    </row>
    <row r="236" spans="2:58" x14ac:dyDescent="0.25">
      <c r="B236" s="63"/>
      <c r="C236" s="319" t="s">
        <v>328</v>
      </c>
      <c r="E236" s="2"/>
      <c r="F236" s="360">
        <f>J113</f>
        <v>0.9</v>
      </c>
      <c r="G236" s="365" t="s">
        <v>43</v>
      </c>
      <c r="H236" s="145"/>
      <c r="I236" s="2"/>
      <c r="J236" s="17">
        <f>E257</f>
        <v>0.9</v>
      </c>
      <c r="K236" s="367" t="s">
        <v>43</v>
      </c>
      <c r="L236" s="318"/>
      <c r="M236" s="2"/>
      <c r="N236" s="2"/>
      <c r="O236" s="2"/>
      <c r="P236" s="2"/>
      <c r="Q236" s="9"/>
      <c r="R236" s="4"/>
      <c r="S236" s="16"/>
      <c r="T236" s="4"/>
      <c r="U236" s="48"/>
      <c r="V236" s="61"/>
      <c r="W236" s="44"/>
      <c r="X236" s="44"/>
      <c r="Y236" s="44"/>
      <c r="Z236" s="44"/>
      <c r="AA236" s="44"/>
      <c r="AB236" s="44"/>
      <c r="AC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c r="AY236" s="44"/>
      <c r="AZ236" s="44"/>
      <c r="BA236" s="44"/>
      <c r="BB236" s="44"/>
      <c r="BC236" s="44"/>
      <c r="BD236" s="44"/>
      <c r="BE236" s="44"/>
      <c r="BF236" s="44"/>
    </row>
    <row r="237" spans="2:58" x14ac:dyDescent="0.25">
      <c r="B237" s="63"/>
      <c r="C237" s="319" t="s">
        <v>329</v>
      </c>
      <c r="E237" s="2"/>
      <c r="F237" s="360">
        <f>J114</f>
        <v>0.84</v>
      </c>
      <c r="G237" s="365" t="s">
        <v>53</v>
      </c>
      <c r="H237" s="145"/>
      <c r="I237" s="2"/>
      <c r="J237" s="17">
        <f>F257</f>
        <v>0.84</v>
      </c>
      <c r="K237" s="367" t="s">
        <v>53</v>
      </c>
      <c r="L237" s="318"/>
      <c r="M237" s="2"/>
      <c r="N237" s="2"/>
      <c r="O237" s="2"/>
      <c r="P237" s="2"/>
      <c r="Q237" s="9"/>
      <c r="R237" s="4"/>
      <c r="S237" s="16"/>
      <c r="T237" s="4"/>
      <c r="U237" s="48"/>
      <c r="V237" s="61"/>
      <c r="W237" s="44"/>
      <c r="X237" s="44"/>
      <c r="Y237" s="44"/>
      <c r="Z237" s="44"/>
      <c r="AA237" s="44"/>
      <c r="AB237" s="44"/>
      <c r="AC237" s="44"/>
      <c r="AD237" s="44"/>
      <c r="AE237" s="44"/>
      <c r="AF237" s="44"/>
      <c r="AG237" s="44"/>
      <c r="AH237" s="44"/>
      <c r="AI237" s="44"/>
      <c r="AJ237" s="44"/>
      <c r="AK237" s="44"/>
      <c r="AL237" s="44"/>
      <c r="AM237" s="44"/>
      <c r="AN237" s="44"/>
      <c r="AO237" s="44"/>
      <c r="AP237" s="44"/>
      <c r="AQ237" s="44"/>
      <c r="AR237" s="44"/>
      <c r="AS237" s="44"/>
      <c r="AT237" s="44"/>
      <c r="AU237" s="44"/>
      <c r="AV237" s="44"/>
      <c r="AW237" s="44"/>
      <c r="AX237" s="44"/>
      <c r="AY237" s="44"/>
      <c r="AZ237" s="44"/>
      <c r="BA237" s="44"/>
      <c r="BB237" s="44"/>
      <c r="BC237" s="44"/>
      <c r="BD237" s="44"/>
      <c r="BE237" s="44"/>
      <c r="BF237" s="44"/>
    </row>
    <row r="238" spans="2:58" x14ac:dyDescent="0.25">
      <c r="B238" s="63"/>
      <c r="C238" s="319"/>
      <c r="E238" s="2"/>
      <c r="F238" s="145"/>
      <c r="G238" s="366"/>
      <c r="H238" s="145"/>
      <c r="I238" s="2"/>
      <c r="J238" s="2"/>
      <c r="K238" s="368"/>
      <c r="L238" s="318"/>
      <c r="M238" s="2"/>
      <c r="N238" s="2"/>
      <c r="O238" s="2"/>
      <c r="P238" s="2"/>
      <c r="Q238" s="9"/>
      <c r="R238" s="4"/>
      <c r="S238" s="16"/>
      <c r="T238" s="4"/>
      <c r="U238" s="48"/>
      <c r="V238" s="61"/>
      <c r="W238" s="44"/>
      <c r="X238" s="44"/>
      <c r="Y238" s="44"/>
      <c r="Z238" s="44"/>
      <c r="AA238" s="44"/>
      <c r="AB238" s="44"/>
      <c r="AC238" s="44"/>
      <c r="AD238" s="44"/>
      <c r="AE238" s="44"/>
      <c r="AF238" s="44"/>
      <c r="AG238" s="44"/>
      <c r="AH238" s="44"/>
      <c r="AI238" s="44"/>
      <c r="AJ238" s="44"/>
      <c r="AK238" s="44"/>
      <c r="AL238" s="44"/>
      <c r="AM238" s="44"/>
      <c r="AN238" s="44"/>
      <c r="AO238" s="44"/>
      <c r="AP238" s="44"/>
      <c r="AQ238" s="44"/>
      <c r="AR238" s="44"/>
      <c r="AS238" s="44"/>
      <c r="AT238" s="44"/>
      <c r="AU238" s="44"/>
      <c r="AV238" s="44"/>
      <c r="AW238" s="44"/>
      <c r="AX238" s="44"/>
      <c r="AY238" s="44"/>
      <c r="AZ238" s="44"/>
      <c r="BA238" s="44"/>
      <c r="BB238" s="44"/>
      <c r="BC238" s="44"/>
      <c r="BD238" s="44"/>
      <c r="BE238" s="44"/>
      <c r="BF238" s="44"/>
    </row>
    <row r="239" spans="2:58" x14ac:dyDescent="0.25">
      <c r="B239" s="63"/>
      <c r="C239" s="319" t="s">
        <v>249</v>
      </c>
      <c r="E239" s="2"/>
      <c r="F239" s="361">
        <f>J116</f>
        <v>1.54E-2</v>
      </c>
      <c r="G239" s="365" t="s">
        <v>204</v>
      </c>
      <c r="H239" s="145"/>
      <c r="I239" s="2"/>
      <c r="J239" s="50">
        <f>H257</f>
        <v>1.54E-2</v>
      </c>
      <c r="K239" s="367" t="s">
        <v>204</v>
      </c>
      <c r="L239" s="318"/>
      <c r="M239" s="2"/>
      <c r="N239" s="2"/>
      <c r="O239" s="2"/>
      <c r="P239" s="2"/>
      <c r="Q239" s="9"/>
      <c r="R239" s="4"/>
      <c r="S239" s="16"/>
      <c r="T239" s="4"/>
      <c r="U239" s="48"/>
      <c r="V239" s="61"/>
      <c r="W239" s="44"/>
      <c r="X239" s="44"/>
      <c r="Y239" s="44"/>
      <c r="Z239" s="44"/>
      <c r="AA239" s="44"/>
      <c r="AB239" s="44"/>
      <c r="AC239" s="44"/>
      <c r="AD239" s="44"/>
      <c r="AE239" s="44"/>
      <c r="AF239" s="44"/>
      <c r="AG239" s="44"/>
      <c r="AH239" s="44"/>
      <c r="AI239" s="44"/>
      <c r="AJ239" s="44"/>
      <c r="AK239" s="44"/>
      <c r="AL239" s="44"/>
      <c r="AM239" s="44"/>
      <c r="AN239" s="44"/>
      <c r="AO239" s="44"/>
      <c r="AP239" s="44"/>
      <c r="AQ239" s="44"/>
      <c r="AR239" s="44"/>
      <c r="AS239" s="44"/>
      <c r="AT239" s="44"/>
      <c r="AU239" s="44"/>
      <c r="AV239" s="44"/>
      <c r="AW239" s="44"/>
      <c r="AX239" s="44"/>
      <c r="AY239" s="44"/>
      <c r="AZ239" s="44"/>
      <c r="BA239" s="44"/>
      <c r="BB239" s="44"/>
      <c r="BC239" s="44"/>
      <c r="BD239" s="44"/>
      <c r="BE239" s="44"/>
      <c r="BF239" s="44"/>
    </row>
    <row r="240" spans="2:58" x14ac:dyDescent="0.25">
      <c r="B240" s="63"/>
      <c r="C240" s="319" t="s">
        <v>250</v>
      </c>
      <c r="E240" s="2"/>
      <c r="F240" s="361">
        <f>J117</f>
        <v>1.6500000000000001E-2</v>
      </c>
      <c r="G240" s="365" t="s">
        <v>204</v>
      </c>
      <c r="H240" s="145"/>
      <c r="I240" s="2"/>
      <c r="J240" s="50">
        <f>J257</f>
        <v>1.6500000000000001E-2</v>
      </c>
      <c r="K240" s="367" t="s">
        <v>204</v>
      </c>
      <c r="L240" s="318"/>
      <c r="M240" s="2"/>
      <c r="N240" s="2"/>
      <c r="O240" s="2"/>
      <c r="P240" s="2"/>
      <c r="Q240" s="9"/>
      <c r="R240" s="4"/>
      <c r="S240" s="16"/>
      <c r="T240" s="4"/>
      <c r="U240" s="48"/>
      <c r="V240" s="61"/>
      <c r="W240" s="44"/>
      <c r="X240" s="44"/>
      <c r="Y240" s="44"/>
      <c r="Z240" s="44"/>
      <c r="AA240" s="44"/>
      <c r="AB240" s="44"/>
      <c r="AC240" s="44"/>
      <c r="AD240" s="44"/>
      <c r="AE240" s="44"/>
      <c r="AF240" s="44"/>
      <c r="AG240" s="44"/>
      <c r="AH240" s="44"/>
      <c r="AI240" s="44"/>
      <c r="AJ240" s="44"/>
      <c r="AK240" s="44"/>
      <c r="AL240" s="44"/>
      <c r="AM240" s="44"/>
      <c r="AN240" s="44"/>
      <c r="AO240" s="44"/>
      <c r="AP240" s="44"/>
      <c r="AQ240" s="44"/>
      <c r="AR240" s="44"/>
      <c r="AS240" s="44"/>
      <c r="AT240" s="44"/>
      <c r="AU240" s="44"/>
      <c r="AV240" s="44"/>
      <c r="AW240" s="44"/>
      <c r="AX240" s="44"/>
      <c r="AY240" s="44"/>
      <c r="AZ240" s="44"/>
      <c r="BA240" s="44"/>
      <c r="BB240" s="44"/>
      <c r="BC240" s="44"/>
      <c r="BD240" s="44"/>
      <c r="BE240" s="44"/>
      <c r="BF240" s="44"/>
    </row>
    <row r="241" spans="2:58" x14ac:dyDescent="0.25">
      <c r="B241" s="63"/>
      <c r="C241" s="319"/>
      <c r="E241" s="2"/>
      <c r="F241" s="145"/>
      <c r="G241" s="366"/>
      <c r="H241" s="145"/>
      <c r="I241" s="2"/>
      <c r="J241" s="2"/>
      <c r="K241" s="368"/>
      <c r="L241" s="2"/>
      <c r="M241" s="2"/>
      <c r="N241" s="2"/>
      <c r="O241" s="2"/>
      <c r="P241" s="2"/>
      <c r="Q241" s="9"/>
      <c r="R241" s="4"/>
      <c r="S241" s="16"/>
      <c r="T241" s="4"/>
      <c r="U241" s="48"/>
      <c r="V241" s="61"/>
      <c r="W241" s="44"/>
      <c r="X241" s="44"/>
      <c r="Y241" s="44"/>
      <c r="Z241" s="44"/>
      <c r="AA241" s="44"/>
      <c r="AB241" s="44"/>
      <c r="AC241" s="44"/>
      <c r="AD241" s="44"/>
      <c r="AE241" s="44"/>
      <c r="AF241" s="44"/>
      <c r="AG241" s="44"/>
      <c r="AH241" s="44"/>
      <c r="AI241" s="44"/>
      <c r="AJ241" s="44"/>
      <c r="AK241" s="44"/>
      <c r="AL241" s="44"/>
      <c r="AM241" s="44"/>
      <c r="AN241" s="44"/>
      <c r="AO241" s="44"/>
      <c r="AP241" s="44"/>
      <c r="AQ241" s="44"/>
      <c r="AR241" s="44"/>
      <c r="AS241" s="44"/>
      <c r="AT241" s="44"/>
      <c r="AU241" s="44"/>
      <c r="AV241" s="44"/>
      <c r="AW241" s="44"/>
      <c r="AX241" s="44"/>
      <c r="AY241" s="44"/>
      <c r="AZ241" s="44"/>
      <c r="BA241" s="44"/>
      <c r="BB241" s="44"/>
      <c r="BC241" s="44"/>
      <c r="BD241" s="44"/>
      <c r="BE241" s="44"/>
      <c r="BF241" s="44"/>
    </row>
    <row r="242" spans="2:58" x14ac:dyDescent="0.25">
      <c r="B242" s="63"/>
      <c r="C242" s="319" t="s">
        <v>184</v>
      </c>
      <c r="E242" s="2"/>
      <c r="F242" s="362">
        <f>J119</f>
        <v>54</v>
      </c>
      <c r="G242" s="365" t="s">
        <v>203</v>
      </c>
      <c r="H242" s="145"/>
      <c r="I242" s="2"/>
      <c r="J242" s="362">
        <f>L257</f>
        <v>54</v>
      </c>
      <c r="K242" s="367" t="s">
        <v>203</v>
      </c>
      <c r="L242" s="318"/>
      <c r="M242" s="2"/>
      <c r="N242" s="2"/>
      <c r="O242" s="2"/>
      <c r="P242" s="2"/>
      <c r="Q242" s="9"/>
      <c r="R242" s="4"/>
      <c r="S242" s="16"/>
      <c r="T242" s="4"/>
      <c r="U242" s="48"/>
      <c r="V242" s="61"/>
      <c r="W242" s="44"/>
      <c r="X242" s="44"/>
      <c r="Y242" s="44"/>
      <c r="Z242" s="44"/>
      <c r="AA242" s="44"/>
      <c r="AB242" s="44"/>
      <c r="AC242" s="44"/>
      <c r="AD242" s="44"/>
      <c r="AE242" s="44"/>
      <c r="AF242" s="44"/>
      <c r="AG242" s="44"/>
      <c r="AH242" s="44"/>
      <c r="AI242" s="44"/>
      <c r="AJ242" s="44"/>
      <c r="AK242" s="44"/>
      <c r="AL242" s="44"/>
      <c r="AM242" s="44"/>
      <c r="AN242" s="44"/>
      <c r="AO242" s="44"/>
      <c r="AP242" s="44"/>
      <c r="AQ242" s="44"/>
      <c r="AR242" s="44"/>
      <c r="AS242" s="44"/>
      <c r="AT242" s="44"/>
      <c r="AU242" s="44"/>
      <c r="AV242" s="44"/>
      <c r="AW242" s="44"/>
      <c r="AX242" s="44"/>
      <c r="AY242" s="44"/>
      <c r="AZ242" s="44"/>
      <c r="BA242" s="44"/>
      <c r="BB242" s="44"/>
      <c r="BC242" s="44"/>
      <c r="BD242" s="44"/>
      <c r="BE242" s="44"/>
      <c r="BF242" s="44"/>
    </row>
    <row r="243" spans="2:58" x14ac:dyDescent="0.25">
      <c r="B243" s="63"/>
      <c r="C243" s="319" t="s">
        <v>186</v>
      </c>
      <c r="E243" s="2"/>
      <c r="F243" s="64">
        <f>J120</f>
        <v>45.1</v>
      </c>
      <c r="G243" s="367" t="str">
        <f>CONCATENATE("dbA à ",S41," m3/h")</f>
        <v>dbA à 210 m3/h</v>
      </c>
      <c r="H243" s="145"/>
      <c r="I243" s="2"/>
      <c r="J243" s="362">
        <f>M257</f>
        <v>45.1</v>
      </c>
      <c r="K243" s="367" t="str">
        <f>CONCATENATE("dbA à ",S226," m3/h")</f>
        <v>dbA à 210 m3/h</v>
      </c>
      <c r="L243" s="318"/>
      <c r="M243" s="2"/>
      <c r="N243" s="2"/>
      <c r="O243" s="2"/>
      <c r="P243" s="2"/>
      <c r="Q243" s="9"/>
      <c r="R243" s="4"/>
      <c r="S243" s="16"/>
      <c r="T243" s="4"/>
      <c r="U243" s="48"/>
      <c r="V243" s="61"/>
      <c r="W243" s="44"/>
      <c r="X243" s="44"/>
      <c r="Y243" s="44"/>
      <c r="Z243" s="44"/>
      <c r="AA243" s="44"/>
      <c r="AB243" s="44"/>
      <c r="AC243" s="44"/>
      <c r="AD243" s="44"/>
      <c r="AE243" s="44"/>
      <c r="AF243" s="44"/>
      <c r="AG243" s="44"/>
      <c r="AH243" s="44"/>
      <c r="AI243" s="44"/>
      <c r="AJ243" s="44"/>
      <c r="AK243" s="44"/>
      <c r="AL243" s="44"/>
      <c r="AM243" s="44"/>
      <c r="AN243" s="44"/>
      <c r="AO243" s="44"/>
      <c r="AP243" s="44"/>
      <c r="AQ243" s="44"/>
      <c r="AR243" s="44"/>
      <c r="AS243" s="44"/>
      <c r="AT243" s="44"/>
      <c r="AU243" s="44"/>
      <c r="AV243" s="44"/>
      <c r="AW243" s="44"/>
      <c r="AX243" s="44"/>
      <c r="AY243" s="44"/>
      <c r="AZ243" s="44"/>
      <c r="BA243" s="44"/>
      <c r="BB243" s="44"/>
      <c r="BC243" s="44"/>
      <c r="BD243" s="44"/>
      <c r="BE243" s="44"/>
      <c r="BF243" s="44"/>
    </row>
    <row r="244" spans="2:58" x14ac:dyDescent="0.25">
      <c r="B244" s="63"/>
      <c r="C244" s="319" t="s">
        <v>185</v>
      </c>
      <c r="E244" s="2"/>
      <c r="F244" s="362">
        <f>J121</f>
        <v>36</v>
      </c>
      <c r="G244" s="367" t="str">
        <f>CONCATENATE("dbA à ",S41," m3/h")</f>
        <v>dbA à 210 m3/h</v>
      </c>
      <c r="H244" s="145"/>
      <c r="I244" s="2"/>
      <c r="J244" s="362">
        <f>O257</f>
        <v>36</v>
      </c>
      <c r="K244" s="367" t="str">
        <f>CONCATENATE("dbA à ",S226," m3/h")</f>
        <v>dbA à 210 m3/h</v>
      </c>
      <c r="L244" s="318"/>
      <c r="M244" s="2"/>
      <c r="N244" s="2"/>
      <c r="O244" s="2"/>
      <c r="P244" s="2"/>
      <c r="Q244" s="9"/>
      <c r="R244" s="4"/>
      <c r="S244" s="16"/>
      <c r="T244" s="4"/>
      <c r="U244" s="48"/>
      <c r="V244" s="61"/>
      <c r="W244" s="44"/>
      <c r="X244" s="44"/>
      <c r="Y244" s="44"/>
      <c r="Z244" s="44"/>
      <c r="AA244" s="44"/>
      <c r="AB244" s="44"/>
      <c r="AC244" s="44"/>
      <c r="AD244" s="44"/>
      <c r="AE244" s="44"/>
      <c r="AF244" s="44"/>
      <c r="AG244" s="44"/>
      <c r="AH244" s="44"/>
      <c r="AI244" s="44"/>
      <c r="AJ244" s="44"/>
      <c r="AK244" s="44"/>
      <c r="AL244" s="44"/>
      <c r="AM244" s="44"/>
      <c r="AN244" s="44"/>
      <c r="AO244" s="44"/>
      <c r="AP244" s="44"/>
      <c r="AQ244" s="44"/>
      <c r="AR244" s="44"/>
      <c r="AS244" s="44"/>
      <c r="AT244" s="44"/>
      <c r="AU244" s="44"/>
      <c r="AV244" s="44"/>
      <c r="AW244" s="44"/>
      <c r="AX244" s="44"/>
      <c r="AY244" s="44"/>
      <c r="AZ244" s="44"/>
      <c r="BA244" s="44"/>
      <c r="BB244" s="44"/>
      <c r="BC244" s="44"/>
      <c r="BD244" s="44"/>
      <c r="BE244" s="44"/>
      <c r="BF244" s="44"/>
    </row>
    <row r="245" spans="2:58" x14ac:dyDescent="0.25">
      <c r="B245" s="63"/>
      <c r="C245" s="319" t="s">
        <v>242</v>
      </c>
      <c r="E245" s="2"/>
      <c r="F245" s="64">
        <f>J122</f>
        <v>3210.6619999999998</v>
      </c>
      <c r="G245" s="365" t="s">
        <v>243</v>
      </c>
      <c r="H245" s="145"/>
      <c r="I245" s="2"/>
      <c r="J245" s="362">
        <f>P257</f>
        <v>3210.6619999999998</v>
      </c>
      <c r="K245" s="367" t="s">
        <v>243</v>
      </c>
      <c r="L245" s="318"/>
      <c r="M245" s="2"/>
      <c r="N245" s="2"/>
      <c r="O245" s="2"/>
      <c r="P245" s="2"/>
      <c r="Q245" s="9"/>
      <c r="R245" s="4"/>
      <c r="S245" s="16"/>
      <c r="T245" s="4"/>
      <c r="U245" s="48"/>
      <c r="V245" s="61"/>
      <c r="W245" s="44"/>
      <c r="X245" s="44"/>
      <c r="Y245" s="44"/>
      <c r="Z245" s="44"/>
      <c r="AA245" s="44"/>
      <c r="AB245" s="44"/>
      <c r="AC245" s="44"/>
      <c r="AD245" s="44"/>
      <c r="AE245" s="44"/>
      <c r="AF245" s="44"/>
      <c r="AG245" s="44"/>
      <c r="AH245" s="44"/>
      <c r="AI245" s="44"/>
      <c r="AJ245" s="44"/>
      <c r="AK245" s="44"/>
      <c r="AL245" s="44"/>
      <c r="AM245" s="44"/>
      <c r="AN245" s="44"/>
      <c r="AO245" s="44"/>
      <c r="AP245" s="44"/>
      <c r="AQ245" s="44"/>
      <c r="AR245" s="44"/>
      <c r="AS245" s="44"/>
      <c r="AT245" s="44"/>
      <c r="AU245" s="44"/>
      <c r="AV245" s="44"/>
      <c r="AW245" s="44"/>
      <c r="AX245" s="44"/>
      <c r="AY245" s="44"/>
      <c r="AZ245" s="44"/>
      <c r="BA245" s="44"/>
      <c r="BB245" s="44"/>
      <c r="BC245" s="44"/>
      <c r="BD245" s="44"/>
      <c r="BE245" s="44"/>
      <c r="BF245" s="44"/>
    </row>
    <row r="246" spans="2:58" x14ac:dyDescent="0.25">
      <c r="B246" s="63"/>
      <c r="C246" s="319"/>
      <c r="E246" s="2"/>
      <c r="F246" s="145"/>
      <c r="G246" s="366"/>
      <c r="H246" s="145"/>
      <c r="I246" s="2"/>
      <c r="J246" s="2"/>
      <c r="K246" s="368"/>
      <c r="L246" s="2"/>
      <c r="M246" s="2"/>
      <c r="N246" s="2"/>
      <c r="O246" s="2"/>
      <c r="P246" s="2"/>
      <c r="Q246" s="9"/>
      <c r="R246" s="4"/>
      <c r="S246" s="16"/>
      <c r="T246" s="4"/>
      <c r="U246" s="48"/>
      <c r="V246" s="61"/>
      <c r="W246" s="44"/>
      <c r="X246" s="44"/>
      <c r="Y246" s="44"/>
      <c r="Z246" s="44"/>
      <c r="AA246" s="44"/>
      <c r="AB246" s="44"/>
      <c r="AC246" s="44"/>
      <c r="AD246" s="44"/>
      <c r="AE246" s="44"/>
      <c r="AF246" s="44"/>
      <c r="AG246" s="44"/>
      <c r="AH246" s="44"/>
      <c r="AI246" s="44"/>
      <c r="AJ246" s="44"/>
      <c r="AK246" s="44"/>
      <c r="AL246" s="44"/>
      <c r="AM246" s="44"/>
      <c r="AN246" s="44"/>
      <c r="AO246" s="44"/>
      <c r="AP246" s="44"/>
      <c r="AQ246" s="44"/>
      <c r="AR246" s="44"/>
      <c r="AS246" s="44"/>
      <c r="AT246" s="44"/>
      <c r="AU246" s="44"/>
      <c r="AV246" s="44"/>
      <c r="AW246" s="44"/>
      <c r="AX246" s="44"/>
      <c r="AY246" s="44"/>
      <c r="AZ246" s="44"/>
      <c r="BA246" s="44"/>
      <c r="BB246" s="44"/>
      <c r="BC246" s="44"/>
      <c r="BD246" s="44"/>
      <c r="BE246" s="44"/>
      <c r="BF246" s="44"/>
    </row>
    <row r="247" spans="2:58" x14ac:dyDescent="0.25">
      <c r="B247" s="63"/>
      <c r="C247" s="319" t="s">
        <v>213</v>
      </c>
      <c r="E247" s="2"/>
      <c r="F247" s="146">
        <f>Valeur_COP1</f>
        <v>6.8317354747283883</v>
      </c>
      <c r="G247" s="366"/>
      <c r="H247" s="145"/>
      <c r="I247" s="2"/>
      <c r="J247" s="364">
        <f>Valeur_COP2</f>
        <v>6.8317354747283883</v>
      </c>
      <c r="K247" s="368"/>
      <c r="L247" s="2"/>
      <c r="M247" s="2"/>
      <c r="N247" s="2"/>
      <c r="O247" s="2"/>
      <c r="P247" s="2"/>
      <c r="Q247" s="9"/>
      <c r="R247" s="4"/>
      <c r="S247" s="16"/>
      <c r="T247" s="4"/>
      <c r="U247" s="48"/>
      <c r="V247" s="61"/>
      <c r="W247" s="44"/>
      <c r="X247" s="44"/>
      <c r="Y247" s="44"/>
      <c r="Z247" s="44"/>
      <c r="AA247" s="44"/>
      <c r="AB247" s="44"/>
      <c r="AC247" s="44"/>
      <c r="AD247" s="44"/>
      <c r="AE247" s="44"/>
      <c r="AF247" s="44"/>
      <c r="AG247" s="44"/>
      <c r="AH247" s="44"/>
      <c r="AI247" s="44"/>
      <c r="AJ247" s="44"/>
      <c r="AK247" s="44"/>
      <c r="AL247" s="44"/>
      <c r="AM247" s="44"/>
      <c r="AN247" s="44"/>
      <c r="AO247" s="44"/>
      <c r="AP247" s="44"/>
      <c r="AQ247" s="44"/>
      <c r="AR247" s="44"/>
      <c r="AS247" s="44"/>
      <c r="AT247" s="44"/>
      <c r="AU247" s="44"/>
      <c r="AV247" s="44"/>
      <c r="AW247" s="44"/>
      <c r="AX247" s="44"/>
      <c r="AY247" s="44"/>
      <c r="AZ247" s="44"/>
      <c r="BA247" s="44"/>
      <c r="BB247" s="44"/>
      <c r="BC247" s="44"/>
      <c r="BD247" s="44"/>
      <c r="BE247" s="44"/>
      <c r="BF247" s="44"/>
    </row>
    <row r="248" spans="2:58" x14ac:dyDescent="0.25">
      <c r="B248" s="63"/>
      <c r="C248" s="319" t="s">
        <v>208</v>
      </c>
      <c r="E248" s="2"/>
      <c r="F248" s="363">
        <f>Valeur_gain_total1</f>
        <v>83.5285248</v>
      </c>
      <c r="G248" s="366" t="s">
        <v>29</v>
      </c>
      <c r="H248" s="145"/>
      <c r="I248" s="2"/>
      <c r="J248" s="364">
        <f>Valeur_gain_total2</f>
        <v>83.5285248</v>
      </c>
      <c r="K248" s="366" t="s">
        <v>29</v>
      </c>
      <c r="L248" s="2"/>
      <c r="M248" s="2"/>
      <c r="N248" s="2"/>
      <c r="O248" s="2"/>
      <c r="P248" s="2"/>
      <c r="Q248" s="9"/>
      <c r="R248" s="4"/>
      <c r="S248" s="16"/>
      <c r="T248" s="4"/>
      <c r="U248" s="48"/>
      <c r="V248" s="61"/>
      <c r="W248" s="44"/>
      <c r="X248" s="44"/>
      <c r="Y248" s="44"/>
      <c r="Z248" s="44"/>
      <c r="AA248" s="44"/>
      <c r="AB248" s="44"/>
      <c r="AC248" s="44"/>
      <c r="AD248" s="44"/>
      <c r="AE248" s="44"/>
      <c r="AF248" s="44"/>
      <c r="AG248" s="44"/>
      <c r="AH248" s="44"/>
      <c r="AI248" s="44"/>
      <c r="AJ248" s="44"/>
      <c r="AK248" s="44"/>
      <c r="AL248" s="44"/>
      <c r="AM248" s="44"/>
      <c r="AN248" s="44"/>
      <c r="AO248" s="44"/>
      <c r="AP248" s="44"/>
      <c r="AQ248" s="44"/>
      <c r="AR248" s="44"/>
      <c r="AS248" s="44"/>
      <c r="AT248" s="44"/>
      <c r="AU248" s="44"/>
      <c r="AV248" s="44"/>
      <c r="AW248" s="44"/>
      <c r="AX248" s="44"/>
      <c r="AY248" s="44"/>
      <c r="AZ248" s="44"/>
      <c r="BA248" s="44"/>
      <c r="BB248" s="44"/>
      <c r="BC248" s="44"/>
      <c r="BD248" s="44"/>
      <c r="BE248" s="44"/>
      <c r="BF248" s="44"/>
    </row>
    <row r="249" spans="2:58" x14ac:dyDescent="0.25">
      <c r="B249" s="63"/>
      <c r="C249" s="319" t="s">
        <v>207</v>
      </c>
      <c r="E249" s="2"/>
      <c r="F249" s="363">
        <f>O403</f>
        <v>42.678720000000006</v>
      </c>
      <c r="G249" s="366" t="s">
        <v>266</v>
      </c>
      <c r="H249" s="145"/>
      <c r="I249" s="2"/>
      <c r="J249" s="364">
        <f>P403</f>
        <v>42.678720000000006</v>
      </c>
      <c r="K249" s="366" t="s">
        <v>266</v>
      </c>
      <c r="L249" s="2"/>
      <c r="M249" s="2"/>
      <c r="N249" s="2"/>
      <c r="O249" s="2"/>
      <c r="P249" s="2"/>
      <c r="Q249" s="9"/>
      <c r="R249" s="4"/>
      <c r="S249" s="16"/>
      <c r="T249" s="4"/>
      <c r="U249" s="48"/>
      <c r="V249" s="61"/>
      <c r="W249" s="44"/>
      <c r="X249" s="44"/>
      <c r="Y249" s="44"/>
      <c r="Z249" s="44"/>
      <c r="AA249" s="44"/>
      <c r="AB249" s="44"/>
      <c r="AC249" s="44"/>
      <c r="AD249" s="44"/>
      <c r="AE249" s="44"/>
      <c r="AF249" s="44"/>
      <c r="AG249" s="44"/>
      <c r="AH249" s="44"/>
      <c r="AI249" s="44"/>
      <c r="AJ249" s="44"/>
      <c r="AK249" s="44"/>
      <c r="AL249" s="44"/>
      <c r="AM249" s="44"/>
      <c r="AN249" s="44"/>
      <c r="AO249" s="44"/>
      <c r="AP249" s="44"/>
      <c r="AQ249" s="44"/>
      <c r="AR249" s="44"/>
      <c r="AS249" s="44"/>
      <c r="AT249" s="44"/>
      <c r="AU249" s="44"/>
      <c r="AV249" s="44"/>
      <c r="AW249" s="44"/>
      <c r="AX249" s="44"/>
      <c r="AY249" s="44"/>
      <c r="AZ249" s="44"/>
      <c r="BA249" s="44"/>
      <c r="BB249" s="44"/>
      <c r="BC249" s="44"/>
      <c r="BD249" s="44"/>
      <c r="BE249" s="44"/>
      <c r="BF249" s="44"/>
    </row>
    <row r="250" spans="2:58" x14ac:dyDescent="0.25">
      <c r="B250" s="54"/>
      <c r="C250" s="319" t="s">
        <v>209</v>
      </c>
      <c r="E250" s="2"/>
      <c r="F250" s="363">
        <f>Valeur_RSI1</f>
        <v>58.945875217947105</v>
      </c>
      <c r="G250" s="366" t="s">
        <v>247</v>
      </c>
      <c r="H250" s="145"/>
      <c r="I250" s="2"/>
      <c r="J250" s="364">
        <f>Valeur_RSI2</f>
        <v>58.945875217947105</v>
      </c>
      <c r="K250" s="366" t="s">
        <v>247</v>
      </c>
      <c r="L250" s="2"/>
      <c r="M250" s="2"/>
      <c r="N250" s="2"/>
      <c r="O250" s="2"/>
      <c r="P250" s="2"/>
      <c r="Q250" s="9"/>
      <c r="R250" s="4"/>
      <c r="S250" s="16">
        <f>IF(ISNA(VLOOKUP(Choix_caisson2,Selection_Zone,1,0)),"",VLOOKUP(Choix_caisson2,Selection_Zone,15,0))</f>
        <v>677</v>
      </c>
      <c r="T250" s="4"/>
      <c r="U250" s="48"/>
      <c r="V250" s="61"/>
      <c r="W250" s="44"/>
      <c r="X250" s="44"/>
      <c r="Y250" s="44"/>
      <c r="Z250" s="44"/>
      <c r="AA250" s="44"/>
      <c r="AB250" s="44"/>
      <c r="AC250" s="44"/>
      <c r="AD250" s="44"/>
      <c r="AE250" s="44"/>
      <c r="AF250" s="44"/>
      <c r="AG250" s="44"/>
      <c r="AH250" s="44"/>
      <c r="AI250" s="44"/>
      <c r="AJ250" s="44"/>
      <c r="AK250" s="44"/>
      <c r="AL250" s="44"/>
      <c r="AM250" s="44"/>
      <c r="AN250" s="44"/>
      <c r="AO250" s="44"/>
      <c r="AP250" s="44"/>
      <c r="AQ250" s="44"/>
      <c r="AR250" s="44"/>
      <c r="AS250" s="44"/>
      <c r="AT250" s="44"/>
      <c r="AU250" s="44"/>
      <c r="AV250" s="44"/>
      <c r="AW250" s="44"/>
      <c r="AX250" s="44"/>
      <c r="AY250" s="44"/>
      <c r="AZ250" s="44"/>
      <c r="BA250" s="44"/>
      <c r="BB250" s="44"/>
      <c r="BC250" s="44"/>
      <c r="BD250" s="44"/>
      <c r="BE250" s="44"/>
      <c r="BF250" s="44"/>
    </row>
    <row r="251" spans="2:58" ht="18.75" x14ac:dyDescent="0.3">
      <c r="B251" s="53"/>
      <c r="C251" s="319" t="s">
        <v>325</v>
      </c>
      <c r="E251" s="2"/>
      <c r="F251" s="363">
        <f>O449</f>
        <v>16</v>
      </c>
      <c r="G251" s="366" t="s">
        <v>267</v>
      </c>
      <c r="H251" s="145"/>
      <c r="I251" s="2"/>
      <c r="J251" s="364">
        <f>P449</f>
        <v>16</v>
      </c>
      <c r="K251" s="366" t="s">
        <v>267</v>
      </c>
      <c r="L251" s="2"/>
      <c r="M251" s="62"/>
      <c r="N251" s="2"/>
      <c r="O251" s="2"/>
      <c r="P251" s="2"/>
      <c r="Q251" s="9"/>
      <c r="R251" s="4"/>
      <c r="S251" s="16"/>
      <c r="T251" s="4"/>
      <c r="U251" s="48"/>
      <c r="V251" s="61"/>
      <c r="W251" s="44"/>
      <c r="X251" s="44"/>
      <c r="Y251" s="44"/>
      <c r="Z251" s="44"/>
      <c r="AA251" s="44"/>
      <c r="AB251" s="44"/>
      <c r="AC251" s="44"/>
      <c r="AD251" s="44"/>
      <c r="AE251" s="44"/>
      <c r="AF251" s="44"/>
      <c r="AG251" s="44"/>
      <c r="AH251" s="44"/>
      <c r="AI251" s="44"/>
      <c r="AJ251" s="44"/>
      <c r="AK251" s="44"/>
      <c r="AL251" s="44"/>
      <c r="AM251" s="44"/>
      <c r="AN251" s="44"/>
      <c r="AO251" s="44"/>
      <c r="AP251" s="44"/>
      <c r="AQ251" s="44"/>
      <c r="AR251" s="44"/>
      <c r="AS251" s="44"/>
      <c r="AT251" s="44"/>
      <c r="AU251" s="44"/>
      <c r="AV251" s="44"/>
      <c r="AW251" s="44"/>
      <c r="AX251" s="44"/>
      <c r="AY251" s="44"/>
      <c r="AZ251" s="44"/>
      <c r="BA251" s="44"/>
      <c r="BB251" s="44"/>
      <c r="BC251" s="44"/>
      <c r="BD251" s="44"/>
      <c r="BE251" s="44"/>
      <c r="BF251" s="44"/>
    </row>
    <row r="252" spans="2:58" ht="19.5" thickBot="1" x14ac:dyDescent="0.35">
      <c r="B252" s="147"/>
      <c r="C252" s="13"/>
      <c r="D252" s="13"/>
      <c r="E252" s="13"/>
      <c r="F252" s="13"/>
      <c r="G252" s="13"/>
      <c r="H252" s="13"/>
      <c r="I252" s="13"/>
      <c r="J252" s="13"/>
      <c r="K252" s="13"/>
      <c r="L252" s="13"/>
      <c r="M252" s="148"/>
      <c r="N252" s="13"/>
      <c r="O252" s="13"/>
      <c r="P252" s="13"/>
      <c r="Q252" s="14"/>
      <c r="R252" s="4"/>
      <c r="S252" s="16"/>
      <c r="T252" s="4"/>
      <c r="U252" s="48"/>
      <c r="V252" s="61"/>
      <c r="W252" s="44"/>
      <c r="X252" s="44"/>
      <c r="Y252" s="44"/>
      <c r="Z252" s="44"/>
      <c r="AA252" s="44"/>
      <c r="AB252" s="44"/>
      <c r="AC252" s="44"/>
      <c r="AD252" s="44"/>
      <c r="AE252" s="44"/>
      <c r="AF252" s="44"/>
      <c r="AG252" s="44"/>
      <c r="AH252" s="44"/>
      <c r="AI252" s="44"/>
      <c r="AJ252" s="44"/>
      <c r="AK252" s="44"/>
      <c r="AL252" s="44"/>
      <c r="AM252" s="44"/>
      <c r="AN252" s="44"/>
      <c r="AO252" s="44"/>
      <c r="AP252" s="44"/>
      <c r="AQ252" s="44"/>
      <c r="AR252" s="44"/>
      <c r="AS252" s="44"/>
      <c r="AT252" s="44"/>
      <c r="AU252" s="44"/>
      <c r="AV252" s="44"/>
      <c r="AW252" s="44"/>
      <c r="AX252" s="44"/>
      <c r="AY252" s="44"/>
      <c r="AZ252" s="44"/>
      <c r="BA252" s="44"/>
      <c r="BB252" s="44"/>
      <c r="BC252" s="44"/>
      <c r="BD252" s="44"/>
      <c r="BE252" s="44"/>
      <c r="BF252" s="44"/>
    </row>
    <row r="253" spans="2:58" ht="0.75" customHeight="1" x14ac:dyDescent="0.25">
      <c r="B253" s="8"/>
      <c r="C253" s="34" t="s">
        <v>64</v>
      </c>
      <c r="D253" s="34"/>
      <c r="E253" s="34" t="s">
        <v>58</v>
      </c>
      <c r="F253" s="34" t="s">
        <v>58</v>
      </c>
      <c r="G253" s="34"/>
      <c r="H253" s="34" t="s">
        <v>187</v>
      </c>
      <c r="I253" s="2"/>
      <c r="J253" s="34" t="s">
        <v>187</v>
      </c>
      <c r="K253" s="34"/>
      <c r="L253" s="34" t="s">
        <v>184</v>
      </c>
      <c r="M253" s="35" t="s">
        <v>186</v>
      </c>
      <c r="N253" s="2"/>
      <c r="O253" s="34" t="s">
        <v>185</v>
      </c>
      <c r="P253" s="34" t="str">
        <f>H122</f>
        <v>PV caisson TTC</v>
      </c>
      <c r="Q253" s="9"/>
      <c r="R253" s="4"/>
      <c r="S253" s="16">
        <f>IF(ISNA(VLOOKUP(Choix_caisson2,Selection_Zone,1,0)),"",VLOOKUP(Choix_caisson2,Selection_Zone,16,0))</f>
        <v>564</v>
      </c>
      <c r="T253" s="4"/>
      <c r="U253" s="48"/>
      <c r="V253" s="61"/>
      <c r="W253" s="44"/>
      <c r="X253" s="44"/>
      <c r="Y253" s="44"/>
      <c r="Z253" s="44"/>
      <c r="AA253" s="44"/>
      <c r="AB253" s="44"/>
      <c r="AC253" s="44"/>
      <c r="AD253" s="44"/>
      <c r="AE253" s="44"/>
      <c r="AF253" s="44"/>
      <c r="AG253" s="44"/>
      <c r="AH253" s="44"/>
      <c r="AI253" s="44"/>
      <c r="AJ253" s="44"/>
      <c r="AK253" s="44"/>
      <c r="AL253" s="44"/>
      <c r="AM253" s="44"/>
      <c r="AN253" s="44"/>
      <c r="AO253" s="44"/>
      <c r="AP253" s="44"/>
      <c r="AQ253" s="44"/>
      <c r="AR253" s="44"/>
      <c r="AS253" s="44"/>
      <c r="AT253" s="44"/>
      <c r="AU253" s="44"/>
      <c r="AV253" s="44"/>
      <c r="AW253" s="44"/>
      <c r="AX253" s="44"/>
      <c r="AY253" s="44"/>
      <c r="AZ253" s="44"/>
      <c r="BA253" s="44"/>
      <c r="BB253" s="44"/>
      <c r="BC253" s="44"/>
      <c r="BD253" s="44"/>
      <c r="BE253" s="44"/>
      <c r="BF253" s="44"/>
    </row>
    <row r="254" spans="2:58" ht="15.75" hidden="1" customHeight="1" x14ac:dyDescent="0.25">
      <c r="D254" s="36"/>
      <c r="G254" s="2"/>
      <c r="I254" s="51"/>
      <c r="K254" s="2"/>
      <c r="N254" s="2"/>
      <c r="Q254" s="9"/>
      <c r="R254" s="4"/>
      <c r="S254" s="16" t="str">
        <f>IF(ISNA(VLOOKUP(Choix_caisson2,Selection_Zone,1,0)),"",VLOOKUP(Choix_caisson2,Selection_Zone,17,0))</f>
        <v>150/160</v>
      </c>
      <c r="T254" s="4"/>
      <c r="U254" s="15"/>
      <c r="V254" s="11"/>
    </row>
    <row r="255" spans="2:58" ht="15.75" hidden="1" customHeight="1" x14ac:dyDescent="0.25">
      <c r="D255" s="36"/>
      <c r="G255" s="2"/>
      <c r="I255" s="51"/>
      <c r="K255" s="2"/>
      <c r="N255" s="2"/>
      <c r="Q255" s="9"/>
      <c r="R255" s="4"/>
      <c r="S255" s="56" t="str">
        <f>IF(ISNA(VLOOKUP(Choix_caisson2,Selection_Zone,1,0)),"",VLOOKUP(Choix_caisson2,Selection_Zone,18,0))</f>
        <v>oui</v>
      </c>
      <c r="T255" s="4"/>
      <c r="U255" s="15"/>
      <c r="V255" s="11"/>
    </row>
    <row r="256" spans="2:58" ht="15.75" hidden="1" customHeight="1" x14ac:dyDescent="0.25">
      <c r="B256" s="8"/>
      <c r="C256" s="36" t="str">
        <f>K112</f>
        <v>Wh/m3</v>
      </c>
      <c r="D256" s="36"/>
      <c r="E256" s="36" t="str">
        <f>K113</f>
        <v>nt</v>
      </c>
      <c r="F256" s="36" t="str">
        <f>K114</f>
        <v>nWRG</v>
      </c>
      <c r="G256" s="36"/>
      <c r="H256" s="36" t="str">
        <f>K116</f>
        <v>%</v>
      </c>
      <c r="I256" s="36"/>
      <c r="J256" s="36" t="str">
        <f>K117</f>
        <v>%</v>
      </c>
      <c r="K256" s="36"/>
      <c r="L256" s="36" t="str">
        <f>K119</f>
        <v>dbA</v>
      </c>
      <c r="M256" s="36" t="str">
        <f>K120</f>
        <v>dbA</v>
      </c>
      <c r="N256" s="36"/>
      <c r="O256" s="36" t="str">
        <f>K121</f>
        <v>dbA</v>
      </c>
      <c r="P256" s="36" t="str">
        <f>K122</f>
        <v>€ TTC</v>
      </c>
      <c r="Q256" s="9"/>
      <c r="R256" s="4"/>
      <c r="S256" s="56" t="str">
        <f>IF(ISNA(VLOOKUP(Choix_caisson2,Selection_Zone,1,0)),"",VLOOKUP(Choix_caisson2,Selection_Zone,19,0))</f>
        <v>oui</v>
      </c>
      <c r="T256" s="4"/>
      <c r="U256" s="15"/>
      <c r="V256" s="11"/>
    </row>
    <row r="257" spans="2:22" x14ac:dyDescent="0.25">
      <c r="B257" s="2"/>
      <c r="C257" s="16">
        <f>IF(ISNA(VLOOKUP(Choix_caisson2,Selection_Zone,1,0)),"",VLOOKUP(Choix_caisson2,Selection_Zone,5,0))</f>
        <v>0.28999999999999998</v>
      </c>
      <c r="D257" s="16"/>
      <c r="E257" s="16">
        <f>IF(ISNA(VLOOKUP(Choix_caisson2,Selection_Zone,1,0)),"",VLOOKUP(Choix_caisson2,Selection_Zone,6,0))</f>
        <v>0.9</v>
      </c>
      <c r="F257" s="16">
        <f>IF(ISNA(VLOOKUP(Choix_caisson2,Selection_Zone,1,0)),"",VLOOKUP(Choix_caisson2,Selection_Zone,7,0))</f>
        <v>0.84</v>
      </c>
      <c r="G257" s="16"/>
      <c r="H257" s="16">
        <f>IF(ISNA(VLOOKUP(Choix_caisson2,Selection_Zone,1,0)),"",VLOOKUP(Choix_caisson2,Selection_Zone,8,0))</f>
        <v>1.54E-2</v>
      </c>
      <c r="I257" s="16"/>
      <c r="J257" s="16">
        <f>IF(ISNA(VLOOKUP(Choix_caisson2,Selection_Zone,1,0)),"",VLOOKUP(Choix_caisson2,Selection_Zone,9,0))</f>
        <v>1.6500000000000001E-2</v>
      </c>
      <c r="K257" s="16"/>
      <c r="L257" s="16">
        <f>IF(ISNA(VLOOKUP(Choix_caisson2,Selection_Zone,1,0)),"",VLOOKUP(Choix_caisson2,Selection_Zone,10,0))</f>
        <v>54</v>
      </c>
      <c r="M257" s="16">
        <f>IF(ISNA(VLOOKUP(Choix_caisson2,Selection_Zone,1,0)),"",VLOOKUP(Choix_caisson2,Selection_Zone,11,0))</f>
        <v>45.1</v>
      </c>
      <c r="N257" s="16"/>
      <c r="O257" s="16">
        <f>IF(ISNA(VLOOKUP(Choix_caisson2,Selection_Zone,1,0)),"",VLOOKUP(Choix_caisson2,Selection_Zone,12,0))</f>
        <v>36</v>
      </c>
      <c r="P257" s="16">
        <f>IF(ISNA(VLOOKUP(Choix_caisson2,Selection_Zone,1,0)),"",VLOOKUP(Choix_caisson2,Selection_Zone,13,0))</f>
        <v>3210.6619999999998</v>
      </c>
      <c r="Q257" s="2"/>
      <c r="R257" s="4"/>
      <c r="T257" s="4"/>
      <c r="U257" s="15"/>
      <c r="V257" s="11"/>
    </row>
    <row r="258" spans="2:22" ht="20.25" x14ac:dyDescent="0.25">
      <c r="B258" s="320" t="s">
        <v>622</v>
      </c>
      <c r="C258" s="321"/>
      <c r="D258" s="322"/>
      <c r="E258" s="322"/>
      <c r="F258" s="322"/>
      <c r="G258" s="322"/>
      <c r="H258" s="322"/>
      <c r="I258" s="323"/>
      <c r="J258" s="323"/>
      <c r="K258" s="323"/>
      <c r="L258" s="323"/>
      <c r="M258" s="323"/>
      <c r="N258" s="322"/>
      <c r="O258" s="323"/>
      <c r="P258" s="323"/>
      <c r="Q258" s="323"/>
      <c r="R258" s="4"/>
      <c r="T258" s="4"/>
      <c r="U258" s="15"/>
      <c r="V258" s="11"/>
    </row>
    <row r="259" spans="2:22" x14ac:dyDescent="0.25">
      <c r="B259" s="8"/>
      <c r="C259" s="2"/>
      <c r="D259" s="2"/>
      <c r="E259" s="2"/>
      <c r="F259" s="2"/>
      <c r="G259" s="2"/>
      <c r="H259" s="2"/>
      <c r="I259" s="2"/>
      <c r="J259" s="2"/>
      <c r="K259" s="2"/>
      <c r="L259" s="2"/>
      <c r="M259" s="2"/>
      <c r="N259" s="2"/>
      <c r="O259" s="2"/>
      <c r="P259" s="2"/>
      <c r="Q259" s="9"/>
      <c r="R259" s="4"/>
      <c r="S259" s="55" t="s">
        <v>205</v>
      </c>
      <c r="T259" s="4"/>
      <c r="U259" s="15"/>
      <c r="V259" s="11"/>
    </row>
    <row r="260" spans="2:22" x14ac:dyDescent="0.25">
      <c r="B260" s="8"/>
      <c r="C260" s="2"/>
      <c r="D260" s="2"/>
      <c r="E260" s="2"/>
      <c r="F260" s="2"/>
      <c r="G260" s="16">
        <f>IF(Choix_pcan_2="OUI",0,1)</f>
        <v>1</v>
      </c>
      <c r="H260" s="2"/>
      <c r="I260" s="2"/>
      <c r="J260" s="2"/>
      <c r="K260" s="2"/>
      <c r="L260" s="2"/>
      <c r="M260" s="2"/>
      <c r="N260" s="2"/>
      <c r="O260" s="2"/>
      <c r="P260" s="2"/>
      <c r="Q260" s="9"/>
      <c r="R260" s="4"/>
      <c r="S260" s="55" t="s">
        <v>60</v>
      </c>
      <c r="T260" s="4"/>
      <c r="U260" s="15"/>
      <c r="V260" s="11"/>
    </row>
    <row r="261" spans="2:22" x14ac:dyDescent="0.25">
      <c r="B261" s="8"/>
      <c r="C261" s="2"/>
      <c r="D261" s="2"/>
      <c r="E261" s="2"/>
      <c r="F261" s="2"/>
      <c r="G261" s="2"/>
      <c r="H261" s="2"/>
      <c r="I261" s="2"/>
      <c r="J261" s="2"/>
      <c r="K261" s="2"/>
      <c r="L261" s="2"/>
      <c r="M261" s="2"/>
      <c r="N261" s="2"/>
      <c r="O261" s="2"/>
      <c r="P261" s="318"/>
      <c r="Q261" s="9"/>
      <c r="R261" s="4"/>
      <c r="S261" s="55" t="s">
        <v>61</v>
      </c>
      <c r="T261" s="4"/>
      <c r="U261" s="15"/>
      <c r="V261" s="11"/>
    </row>
    <row r="262" spans="2:22" x14ac:dyDescent="0.25">
      <c r="B262" s="8"/>
      <c r="C262" s="2"/>
      <c r="D262" s="2"/>
      <c r="E262" s="2"/>
      <c r="F262" s="2"/>
      <c r="G262" s="2"/>
      <c r="H262" s="2"/>
      <c r="I262" s="2"/>
      <c r="J262" s="2"/>
      <c r="K262" s="2"/>
      <c r="L262" s="2"/>
      <c r="M262" s="2"/>
      <c r="N262" s="2"/>
      <c r="O262" s="2"/>
      <c r="P262" s="2"/>
      <c r="Q262" s="9"/>
      <c r="R262" s="4"/>
      <c r="T262" s="4"/>
      <c r="U262" s="15"/>
      <c r="V262" s="11"/>
    </row>
    <row r="263" spans="2:22" x14ac:dyDescent="0.25">
      <c r="B263" s="8"/>
      <c r="C263" s="2"/>
      <c r="D263" s="2"/>
      <c r="E263" s="2"/>
      <c r="F263" s="2"/>
      <c r="G263" s="2"/>
      <c r="H263" s="2"/>
      <c r="I263" s="2"/>
      <c r="J263" s="2"/>
      <c r="K263" s="2"/>
      <c r="L263" s="2"/>
      <c r="M263" s="2"/>
      <c r="N263" s="2"/>
      <c r="O263" s="2"/>
      <c r="P263" s="2"/>
      <c r="Q263" s="9"/>
      <c r="R263" s="4"/>
      <c r="S263" s="4"/>
      <c r="T263" s="4"/>
      <c r="U263" s="15"/>
      <c r="V263" s="11"/>
    </row>
    <row r="264" spans="2:22" x14ac:dyDescent="0.25">
      <c r="B264" s="8"/>
      <c r="C264" s="2"/>
      <c r="D264" s="2"/>
      <c r="E264" s="2"/>
      <c r="F264" s="2"/>
      <c r="G264" s="2"/>
      <c r="H264" s="2"/>
      <c r="I264" s="2"/>
      <c r="J264" s="2"/>
      <c r="K264" s="2"/>
      <c r="L264" s="2"/>
      <c r="M264" s="2"/>
      <c r="N264" s="2"/>
      <c r="O264" s="2"/>
      <c r="P264" s="2"/>
      <c r="Q264" s="42"/>
      <c r="R264" s="4"/>
      <c r="S264" s="4"/>
      <c r="T264" s="4"/>
      <c r="U264" s="15"/>
      <c r="V264" s="11"/>
    </row>
    <row r="265" spans="2:22" x14ac:dyDescent="0.25">
      <c r="B265" s="8"/>
      <c r="C265" s="2"/>
      <c r="D265" s="2"/>
      <c r="E265" s="2"/>
      <c r="F265" s="2"/>
      <c r="G265" s="2"/>
      <c r="H265" s="2"/>
      <c r="I265" s="2"/>
      <c r="J265" s="2"/>
      <c r="K265" s="318"/>
      <c r="L265" s="2"/>
      <c r="M265" s="2"/>
      <c r="N265" s="2"/>
      <c r="O265" s="2"/>
      <c r="P265" s="2"/>
      <c r="Q265" s="42"/>
      <c r="R265" s="4"/>
      <c r="S265" s="4"/>
      <c r="T265" s="4"/>
      <c r="U265" s="15"/>
      <c r="V265" s="11"/>
    </row>
    <row r="266" spans="2:22" x14ac:dyDescent="0.25">
      <c r="B266" s="8"/>
      <c r="C266" s="2"/>
      <c r="D266" s="2"/>
      <c r="E266" s="2"/>
      <c r="F266" s="2"/>
      <c r="G266" s="2"/>
      <c r="H266" s="2"/>
      <c r="I266" s="2"/>
      <c r="J266" s="2"/>
      <c r="K266" s="2"/>
      <c r="L266" s="2"/>
      <c r="M266" s="2"/>
      <c r="N266" s="2"/>
      <c r="O266" s="2"/>
      <c r="P266" s="2"/>
      <c r="Q266" s="9"/>
      <c r="T266" s="4"/>
      <c r="U266" s="15"/>
      <c r="V266" s="11"/>
    </row>
    <row r="267" spans="2:22" x14ac:dyDescent="0.25">
      <c r="B267" s="8"/>
      <c r="C267" s="2"/>
      <c r="D267" s="2"/>
      <c r="E267" s="2"/>
      <c r="F267" s="2"/>
      <c r="G267" s="2"/>
      <c r="H267" s="2"/>
      <c r="I267" s="2"/>
      <c r="J267" s="2"/>
      <c r="K267" s="2"/>
      <c r="L267" s="2"/>
      <c r="M267" s="2"/>
      <c r="N267" s="2"/>
      <c r="O267" s="2"/>
      <c r="P267" s="2"/>
      <c r="Q267" s="9"/>
      <c r="T267" s="4"/>
      <c r="U267" s="15"/>
      <c r="V267" s="11"/>
    </row>
    <row r="268" spans="2:22" x14ac:dyDescent="0.25">
      <c r="B268" s="8"/>
      <c r="C268" s="2"/>
      <c r="D268" s="2"/>
      <c r="E268" s="2"/>
      <c r="F268" s="2"/>
      <c r="G268" s="2"/>
      <c r="H268" s="2"/>
      <c r="I268" s="2"/>
      <c r="J268" s="2"/>
      <c r="K268" s="2"/>
      <c r="L268" s="2"/>
      <c r="M268" s="2"/>
      <c r="N268" s="2"/>
      <c r="O268" s="2"/>
      <c r="P268" s="2"/>
      <c r="Q268" s="42"/>
      <c r="T268" s="4"/>
      <c r="U268" s="15"/>
      <c r="V268" s="11"/>
    </row>
    <row r="269" spans="2:22" x14ac:dyDescent="0.25">
      <c r="B269" s="8"/>
      <c r="C269" s="2"/>
      <c r="D269" s="2"/>
      <c r="E269" s="2"/>
      <c r="F269" s="2"/>
      <c r="G269" s="2"/>
      <c r="H269" s="2"/>
      <c r="I269" s="2"/>
      <c r="J269" s="2"/>
      <c r="K269" s="318"/>
      <c r="L269" s="2"/>
      <c r="M269" s="2"/>
      <c r="N269" s="2"/>
      <c r="O269" s="2"/>
      <c r="P269" s="2"/>
      <c r="Q269" s="42"/>
      <c r="T269" s="4"/>
      <c r="U269" s="15"/>
      <c r="V269" s="11"/>
    </row>
    <row r="270" spans="2:22" x14ac:dyDescent="0.25">
      <c r="B270" s="8"/>
      <c r="C270" s="2"/>
      <c r="D270" s="2"/>
      <c r="E270" s="2"/>
      <c r="F270" s="2"/>
      <c r="G270" s="2"/>
      <c r="H270" s="2"/>
      <c r="I270" s="2"/>
      <c r="J270" s="2"/>
      <c r="K270" s="2"/>
      <c r="L270" s="2"/>
      <c r="M270" s="2"/>
      <c r="N270" s="2"/>
      <c r="O270" s="2"/>
      <c r="P270" s="2"/>
      <c r="Q270" s="9"/>
      <c r="T270" s="4"/>
      <c r="U270" s="15"/>
      <c r="V270" s="11"/>
    </row>
    <row r="271" spans="2:22" x14ac:dyDescent="0.25">
      <c r="B271" s="8"/>
      <c r="C271" s="2"/>
      <c r="D271" s="2"/>
      <c r="E271" s="2"/>
      <c r="F271" s="2"/>
      <c r="G271" s="2"/>
      <c r="H271" s="2"/>
      <c r="I271" s="2"/>
      <c r="J271" s="2"/>
      <c r="K271" s="2"/>
      <c r="L271" s="2"/>
      <c r="M271" s="2"/>
      <c r="N271" s="2"/>
      <c r="O271" s="2"/>
      <c r="P271" s="2"/>
      <c r="Q271" s="9"/>
      <c r="T271" s="4"/>
      <c r="U271" s="15"/>
      <c r="V271" s="11"/>
    </row>
    <row r="272" spans="2:22" x14ac:dyDescent="0.25">
      <c r="B272" s="8"/>
      <c r="C272" s="2"/>
      <c r="D272" s="2"/>
      <c r="E272" s="2"/>
      <c r="F272" s="2"/>
      <c r="G272" s="2"/>
      <c r="H272" s="2"/>
      <c r="I272" s="2"/>
      <c r="J272" s="2"/>
      <c r="K272" s="2"/>
      <c r="L272" s="2"/>
      <c r="M272" s="2"/>
      <c r="N272" s="2"/>
      <c r="O272" s="2"/>
      <c r="P272" s="2"/>
      <c r="Q272" s="9"/>
      <c r="T272" s="4"/>
      <c r="U272" s="15"/>
      <c r="V272" s="11"/>
    </row>
    <row r="273" spans="2:22" x14ac:dyDescent="0.25">
      <c r="B273" s="8"/>
      <c r="C273" s="2"/>
      <c r="D273" s="2"/>
      <c r="E273" s="2"/>
      <c r="F273" s="2"/>
      <c r="G273" s="2"/>
      <c r="H273" s="2"/>
      <c r="I273" s="2"/>
      <c r="J273" s="2"/>
      <c r="K273" s="2"/>
      <c r="L273" s="2"/>
      <c r="M273" s="2"/>
      <c r="N273" s="2"/>
      <c r="O273" s="2"/>
      <c r="P273" s="2"/>
      <c r="Q273" s="9"/>
      <c r="T273" s="4"/>
      <c r="U273" s="15"/>
      <c r="V273" s="11"/>
    </row>
    <row r="274" spans="2:22" x14ac:dyDescent="0.25">
      <c r="B274" s="8"/>
      <c r="C274" s="2"/>
      <c r="D274" s="2"/>
      <c r="E274" s="2"/>
      <c r="F274" s="2"/>
      <c r="G274" s="2"/>
      <c r="H274" s="2"/>
      <c r="I274" s="2"/>
      <c r="J274" s="2"/>
      <c r="K274" s="2"/>
      <c r="L274" s="2"/>
      <c r="M274" s="2"/>
      <c r="N274" s="2"/>
      <c r="O274" s="2"/>
      <c r="P274" s="2"/>
      <c r="Q274" s="9"/>
      <c r="T274" s="4"/>
      <c r="U274" s="15"/>
      <c r="V274" s="11"/>
    </row>
    <row r="275" spans="2:22" x14ac:dyDescent="0.25">
      <c r="B275" s="8"/>
      <c r="C275" s="2"/>
      <c r="D275" s="2"/>
      <c r="E275" s="2"/>
      <c r="F275" s="2"/>
      <c r="G275" s="2"/>
      <c r="H275" s="2"/>
      <c r="I275" s="2"/>
      <c r="J275" s="2"/>
      <c r="K275" s="2"/>
      <c r="L275" s="2"/>
      <c r="M275" s="2"/>
      <c r="N275" s="2"/>
      <c r="O275" s="2"/>
      <c r="P275" s="2"/>
      <c r="Q275" s="9"/>
      <c r="T275" s="4"/>
      <c r="U275" s="15"/>
      <c r="V275" s="11"/>
    </row>
    <row r="276" spans="2:22" x14ac:dyDescent="0.25">
      <c r="B276" s="8"/>
      <c r="C276" s="2"/>
      <c r="D276" s="2"/>
      <c r="E276" s="2"/>
      <c r="F276" s="2"/>
      <c r="G276" s="2"/>
      <c r="H276" s="2"/>
      <c r="I276" s="2"/>
      <c r="J276" s="2"/>
      <c r="K276" s="2"/>
      <c r="L276" s="2"/>
      <c r="M276" s="2"/>
      <c r="N276" s="2"/>
      <c r="O276" s="2"/>
      <c r="P276" s="2"/>
      <c r="Q276" s="9"/>
      <c r="T276" s="4"/>
      <c r="U276" s="15"/>
      <c r="V276" s="11"/>
    </row>
    <row r="277" spans="2:22" x14ac:dyDescent="0.25">
      <c r="B277" s="8"/>
      <c r="C277" s="2"/>
      <c r="D277" s="2"/>
      <c r="E277" s="2"/>
      <c r="F277" s="2"/>
      <c r="G277" s="2"/>
      <c r="H277" s="2"/>
      <c r="I277" s="2"/>
      <c r="J277" s="2"/>
      <c r="K277" s="2"/>
      <c r="L277" s="2"/>
      <c r="M277" s="2"/>
      <c r="N277" s="2"/>
      <c r="O277" s="2"/>
      <c r="P277" s="2"/>
      <c r="Q277" s="9"/>
      <c r="T277" s="4"/>
      <c r="U277" s="15"/>
      <c r="V277" s="11"/>
    </row>
    <row r="278" spans="2:22" x14ac:dyDescent="0.25">
      <c r="B278" s="8"/>
      <c r="C278" s="2"/>
      <c r="D278" s="2"/>
      <c r="E278" s="2"/>
      <c r="F278" s="2"/>
      <c r="G278" s="2"/>
      <c r="H278" s="2"/>
      <c r="I278" s="2"/>
      <c r="J278" s="2"/>
      <c r="K278" s="2"/>
      <c r="L278" s="2"/>
      <c r="M278" s="2"/>
      <c r="N278" s="2"/>
      <c r="O278" s="2"/>
      <c r="P278" s="2"/>
      <c r="Q278" s="9"/>
      <c r="T278" s="4"/>
      <c r="U278" s="15"/>
      <c r="V278" s="11"/>
    </row>
    <row r="279" spans="2:22" x14ac:dyDescent="0.25">
      <c r="B279" s="8"/>
      <c r="C279" s="2"/>
      <c r="D279" s="2"/>
      <c r="E279" s="2"/>
      <c r="F279" s="2"/>
      <c r="G279" s="2"/>
      <c r="H279" s="2"/>
      <c r="I279" s="2"/>
      <c r="J279" s="2"/>
      <c r="K279" s="2"/>
      <c r="L279" s="2"/>
      <c r="M279" s="2"/>
      <c r="N279" s="2"/>
      <c r="O279" s="2"/>
      <c r="P279" s="2"/>
      <c r="Q279" s="9"/>
      <c r="T279" s="4"/>
      <c r="U279" s="15"/>
      <c r="V279" s="11"/>
    </row>
    <row r="280" spans="2:22" x14ac:dyDescent="0.25">
      <c r="B280" s="8"/>
      <c r="C280" s="2"/>
      <c r="D280" s="2"/>
      <c r="E280" s="2"/>
      <c r="F280" s="2"/>
      <c r="G280" s="2"/>
      <c r="H280" s="2"/>
      <c r="I280" s="2"/>
      <c r="J280" s="2"/>
      <c r="K280" s="2"/>
      <c r="L280" s="2"/>
      <c r="M280" s="2"/>
      <c r="N280" s="2"/>
      <c r="O280" s="2"/>
      <c r="P280" s="2"/>
      <c r="Q280" s="9"/>
      <c r="T280" s="4"/>
      <c r="U280" s="15"/>
      <c r="V280" s="11"/>
    </row>
    <row r="281" spans="2:22" x14ac:dyDescent="0.25">
      <c r="B281" s="8"/>
      <c r="C281" s="119"/>
      <c r="D281" s="119"/>
      <c r="E281" s="119"/>
      <c r="F281" s="119"/>
      <c r="G281" s="119"/>
      <c r="H281" s="124"/>
      <c r="I281" s="119"/>
      <c r="J281" s="119"/>
      <c r="K281" s="124"/>
      <c r="L281" s="124"/>
      <c r="M281" s="124"/>
      <c r="N281" s="124"/>
      <c r="O281" s="119"/>
      <c r="P281" s="119"/>
      <c r="Q281" s="137"/>
      <c r="T281" s="4"/>
      <c r="U281" s="15"/>
      <c r="V281" s="11"/>
    </row>
    <row r="282" spans="2:22" x14ac:dyDescent="0.25">
      <c r="B282" s="8"/>
      <c r="C282" s="119"/>
      <c r="D282" s="119"/>
      <c r="E282" s="119"/>
      <c r="F282" s="119"/>
      <c r="G282" s="119"/>
      <c r="H282" s="124"/>
      <c r="I282" s="119"/>
      <c r="J282" s="119"/>
      <c r="K282" s="124"/>
      <c r="L282" s="124"/>
      <c r="M282" s="124"/>
      <c r="N282" s="124"/>
      <c r="O282" s="119"/>
      <c r="P282" s="119"/>
      <c r="Q282" s="137"/>
      <c r="T282" s="4"/>
      <c r="U282" s="15"/>
      <c r="V282" s="11"/>
    </row>
    <row r="283" spans="2:22" x14ac:dyDescent="0.25">
      <c r="B283" s="8"/>
      <c r="C283" s="119"/>
      <c r="D283" s="119"/>
      <c r="E283" s="119"/>
      <c r="F283" s="119"/>
      <c r="G283" s="119"/>
      <c r="H283" s="124"/>
      <c r="I283" s="119"/>
      <c r="J283" s="119"/>
      <c r="K283" s="124"/>
      <c r="L283" s="124"/>
      <c r="M283" s="124"/>
      <c r="N283" s="124"/>
      <c r="O283" s="119"/>
      <c r="P283" s="119"/>
      <c r="Q283" s="137"/>
      <c r="T283" s="4"/>
      <c r="U283" s="15"/>
      <c r="V283" s="11"/>
    </row>
    <row r="284" spans="2:22" x14ac:dyDescent="0.25">
      <c r="B284" s="8"/>
      <c r="C284" s="119"/>
      <c r="D284" s="119"/>
      <c r="E284" s="119"/>
      <c r="F284" s="119"/>
      <c r="G284" s="119"/>
      <c r="H284" s="124"/>
      <c r="I284" s="119"/>
      <c r="J284" s="119"/>
      <c r="K284" s="124"/>
      <c r="L284" s="124"/>
      <c r="M284" s="124"/>
      <c r="N284" s="124"/>
      <c r="O284" s="119"/>
      <c r="P284" s="119"/>
      <c r="Q284" s="137"/>
      <c r="T284" s="4"/>
      <c r="U284" s="15"/>
      <c r="V284" s="11"/>
    </row>
    <row r="285" spans="2:22" x14ac:dyDescent="0.25">
      <c r="B285" s="8"/>
      <c r="C285" s="119"/>
      <c r="D285" s="119"/>
      <c r="E285" s="119"/>
      <c r="F285" s="119"/>
      <c r="G285" s="119"/>
      <c r="H285" s="124"/>
      <c r="I285" s="119"/>
      <c r="J285" s="119"/>
      <c r="K285" s="124"/>
      <c r="L285" s="124"/>
      <c r="M285" s="124"/>
      <c r="N285" s="124"/>
      <c r="O285" s="119"/>
      <c r="P285" s="119"/>
      <c r="Q285" s="137"/>
      <c r="T285" s="4"/>
      <c r="U285" s="15"/>
      <c r="V285" s="11"/>
    </row>
    <row r="286" spans="2:22" x14ac:dyDescent="0.25">
      <c r="B286" s="8"/>
      <c r="C286" s="119"/>
      <c r="D286" s="119"/>
      <c r="E286" s="119"/>
      <c r="F286" s="119"/>
      <c r="G286" s="119"/>
      <c r="H286" s="124"/>
      <c r="I286" s="119"/>
      <c r="J286" s="119"/>
      <c r="K286" s="124"/>
      <c r="L286" s="124"/>
      <c r="M286" s="124"/>
      <c r="N286" s="124"/>
      <c r="O286" s="119"/>
      <c r="P286" s="119"/>
      <c r="Q286" s="137"/>
      <c r="T286" s="4"/>
      <c r="U286" s="15"/>
      <c r="V286" s="11"/>
    </row>
    <row r="287" spans="2:22" x14ac:dyDescent="0.25">
      <c r="B287" s="8"/>
      <c r="C287" s="119"/>
      <c r="D287" s="119"/>
      <c r="E287" s="119"/>
      <c r="F287" s="119"/>
      <c r="G287" s="119"/>
      <c r="H287" s="124"/>
      <c r="I287" s="119"/>
      <c r="J287" s="119"/>
      <c r="K287" s="124"/>
      <c r="L287" s="124"/>
      <c r="M287" s="124"/>
      <c r="N287" s="124"/>
      <c r="O287" s="119"/>
      <c r="P287" s="119"/>
      <c r="Q287" s="137"/>
      <c r="T287" s="4"/>
      <c r="U287" s="15"/>
      <c r="V287" s="11"/>
    </row>
    <row r="288" spans="2:22" x14ac:dyDescent="0.25">
      <c r="B288" s="8"/>
      <c r="C288" s="119"/>
      <c r="D288" s="119"/>
      <c r="E288" s="119"/>
      <c r="F288" s="119"/>
      <c r="G288" s="119"/>
      <c r="H288" s="124"/>
      <c r="I288" s="119"/>
      <c r="J288" s="119"/>
      <c r="K288" s="124"/>
      <c r="L288" s="124"/>
      <c r="M288" s="124"/>
      <c r="N288" s="124"/>
      <c r="O288" s="119"/>
      <c r="P288" s="119"/>
      <c r="Q288" s="137"/>
      <c r="T288" s="4"/>
      <c r="U288" s="15"/>
      <c r="V288" s="11"/>
    </row>
    <row r="289" spans="2:22" x14ac:dyDescent="0.25">
      <c r="B289" s="8"/>
      <c r="C289" s="119"/>
      <c r="D289" s="119"/>
      <c r="E289" s="119"/>
      <c r="F289" s="119"/>
      <c r="G289" s="119"/>
      <c r="H289" s="124"/>
      <c r="I289" s="119"/>
      <c r="J289" s="119"/>
      <c r="K289" s="124"/>
      <c r="L289" s="124"/>
      <c r="M289" s="124"/>
      <c r="N289" s="124"/>
      <c r="O289" s="119"/>
      <c r="P289" s="119"/>
      <c r="Q289" s="137"/>
      <c r="T289" s="4"/>
      <c r="U289" s="15"/>
      <c r="V289" s="11"/>
    </row>
    <row r="290" spans="2:22" x14ac:dyDescent="0.25">
      <c r="B290" s="8"/>
      <c r="C290" s="119"/>
      <c r="D290" s="119"/>
      <c r="E290" s="119"/>
      <c r="F290" s="119"/>
      <c r="G290" s="119"/>
      <c r="H290" s="124"/>
      <c r="I290" s="119"/>
      <c r="J290" s="119"/>
      <c r="K290" s="124"/>
      <c r="L290" s="124"/>
      <c r="M290" s="124"/>
      <c r="N290" s="124"/>
      <c r="O290" s="119"/>
      <c r="P290" s="119"/>
      <c r="Q290" s="137"/>
      <c r="T290" s="4"/>
      <c r="U290" s="15"/>
      <c r="V290" s="11"/>
    </row>
    <row r="291" spans="2:22" x14ac:dyDescent="0.25">
      <c r="B291" s="8"/>
      <c r="C291" s="2"/>
      <c r="D291" s="2"/>
      <c r="E291" s="2"/>
      <c r="F291" s="2"/>
      <c r="G291" s="2"/>
      <c r="H291" s="2"/>
      <c r="I291" s="2"/>
      <c r="J291" s="2"/>
      <c r="K291" s="2"/>
      <c r="L291" s="2"/>
      <c r="M291" s="2"/>
      <c r="N291" s="2"/>
      <c r="O291" s="2"/>
      <c r="P291" s="2"/>
      <c r="Q291" s="9"/>
      <c r="T291" s="4"/>
      <c r="U291" s="15"/>
      <c r="V291" s="11"/>
    </row>
    <row r="292" spans="2:22" x14ac:dyDescent="0.25">
      <c r="B292" s="8"/>
      <c r="C292" s="2"/>
      <c r="D292" s="2"/>
      <c r="E292" s="2"/>
      <c r="F292" s="2"/>
      <c r="G292" s="2"/>
      <c r="H292" s="2"/>
      <c r="I292" s="2"/>
      <c r="J292" s="2"/>
      <c r="K292" s="2"/>
      <c r="L292" s="2"/>
      <c r="M292" s="2"/>
      <c r="N292" s="2"/>
      <c r="O292" s="2"/>
      <c r="P292" s="2"/>
      <c r="Q292" s="9"/>
      <c r="T292" s="4"/>
      <c r="U292" s="15"/>
      <c r="V292" s="11"/>
    </row>
    <row r="293" spans="2:22" x14ac:dyDescent="0.25">
      <c r="B293" s="8"/>
      <c r="C293" s="2"/>
      <c r="D293" s="2"/>
      <c r="E293" s="2"/>
      <c r="F293" s="2"/>
      <c r="G293" s="2"/>
      <c r="H293" s="2"/>
      <c r="I293" s="2"/>
      <c r="J293" s="2"/>
      <c r="K293" s="2"/>
      <c r="L293" s="2"/>
      <c r="M293" s="2"/>
      <c r="N293" s="2"/>
      <c r="O293" s="2"/>
      <c r="P293" s="2"/>
      <c r="Q293" s="9"/>
      <c r="T293" s="4"/>
      <c r="U293" s="15"/>
      <c r="V293" s="11"/>
    </row>
    <row r="294" spans="2:22" x14ac:dyDescent="0.25">
      <c r="B294" s="8"/>
      <c r="C294" s="2"/>
      <c r="D294" s="2"/>
      <c r="E294" s="2"/>
      <c r="F294" s="2"/>
      <c r="G294" s="2"/>
      <c r="H294" s="2"/>
      <c r="I294" s="2"/>
      <c r="J294" s="2"/>
      <c r="K294" s="2"/>
      <c r="L294" s="2"/>
      <c r="M294" s="2"/>
      <c r="N294" s="2"/>
      <c r="O294" s="2"/>
      <c r="P294" s="2"/>
      <c r="Q294" s="9"/>
      <c r="T294" s="4"/>
      <c r="U294" s="15"/>
      <c r="V294" s="11"/>
    </row>
    <row r="295" spans="2:22" x14ac:dyDescent="0.25">
      <c r="B295" s="8"/>
      <c r="C295" s="2"/>
      <c r="D295" s="2"/>
      <c r="E295" s="2"/>
      <c r="F295" s="2"/>
      <c r="G295" s="2"/>
      <c r="H295" s="2"/>
      <c r="I295" s="2"/>
      <c r="J295" s="2"/>
      <c r="K295" s="2"/>
      <c r="L295" s="2"/>
      <c r="M295" s="2"/>
      <c r="N295" s="2"/>
      <c r="O295" s="2"/>
      <c r="P295" s="2"/>
      <c r="Q295" s="9"/>
      <c r="T295" s="4"/>
      <c r="U295" s="15"/>
      <c r="V295" s="11"/>
    </row>
    <row r="296" spans="2:22" x14ac:dyDescent="0.25">
      <c r="B296" s="8"/>
      <c r="C296" s="2"/>
      <c r="D296" s="2"/>
      <c r="E296" s="2"/>
      <c r="F296" s="2"/>
      <c r="G296" s="2"/>
      <c r="H296" s="2"/>
      <c r="I296" s="2"/>
      <c r="J296" s="2"/>
      <c r="K296" s="2"/>
      <c r="L296" s="2"/>
      <c r="M296" s="2"/>
      <c r="N296" s="2"/>
      <c r="O296" s="2"/>
      <c r="P296" s="2"/>
      <c r="Q296" s="9"/>
      <c r="T296" s="4"/>
      <c r="U296" s="15"/>
      <c r="V296" s="11"/>
    </row>
    <row r="297" spans="2:22" x14ac:dyDescent="0.25">
      <c r="B297" s="8"/>
      <c r="C297" s="2"/>
      <c r="D297" s="2"/>
      <c r="E297" s="2"/>
      <c r="F297" s="2"/>
      <c r="G297" s="2"/>
      <c r="H297" s="2"/>
      <c r="I297" s="2"/>
      <c r="J297" s="2"/>
      <c r="K297" s="2"/>
      <c r="L297" s="2"/>
      <c r="M297" s="2"/>
      <c r="N297" s="2"/>
      <c r="O297" s="2"/>
      <c r="P297" s="2"/>
      <c r="Q297" s="9"/>
      <c r="T297" s="4"/>
      <c r="U297" s="15"/>
      <c r="V297" s="11"/>
    </row>
    <row r="298" spans="2:22" x14ac:dyDescent="0.25">
      <c r="B298" s="8"/>
      <c r="C298" s="2"/>
      <c r="D298" s="2"/>
      <c r="E298" s="2"/>
      <c r="F298" s="2"/>
      <c r="G298" s="2"/>
      <c r="H298" s="2"/>
      <c r="I298" s="2"/>
      <c r="J298" s="2"/>
      <c r="K298" s="2"/>
      <c r="L298" s="2"/>
      <c r="M298" s="2"/>
      <c r="N298" s="2"/>
      <c r="O298" s="2"/>
      <c r="P298" s="2"/>
      <c r="Q298" s="9"/>
      <c r="T298" s="4"/>
      <c r="U298" s="15"/>
      <c r="V298" s="11"/>
    </row>
    <row r="299" spans="2:22" x14ac:dyDescent="0.25">
      <c r="B299" s="8"/>
      <c r="C299" s="2"/>
      <c r="D299" s="2"/>
      <c r="E299" s="2"/>
      <c r="F299" s="2"/>
      <c r="G299" s="2"/>
      <c r="H299" s="2"/>
      <c r="I299" s="2"/>
      <c r="J299" s="2"/>
      <c r="K299" s="2"/>
      <c r="L299" s="2"/>
      <c r="M299" s="2"/>
      <c r="N299" s="2"/>
      <c r="O299" s="2"/>
      <c r="P299" s="2"/>
      <c r="Q299" s="9"/>
      <c r="T299" s="4"/>
      <c r="U299" s="15"/>
      <c r="V299" s="11"/>
    </row>
    <row r="300" spans="2:22" x14ac:dyDescent="0.25">
      <c r="B300" s="8"/>
      <c r="C300" s="2"/>
      <c r="D300" s="2"/>
      <c r="E300" s="2"/>
      <c r="F300" s="2"/>
      <c r="G300" s="2"/>
      <c r="H300" s="2"/>
      <c r="I300" s="2"/>
      <c r="J300" s="2"/>
      <c r="K300" s="2"/>
      <c r="L300" s="2"/>
      <c r="M300" s="2"/>
      <c r="N300" s="2"/>
      <c r="O300" s="2"/>
      <c r="P300" s="2"/>
      <c r="Q300" s="9"/>
      <c r="T300" s="4"/>
      <c r="U300" s="15"/>
      <c r="V300" s="11"/>
    </row>
    <row r="301" spans="2:22" x14ac:dyDescent="0.25">
      <c r="B301" s="8"/>
      <c r="C301" s="2"/>
      <c r="D301" s="2"/>
      <c r="E301" s="2"/>
      <c r="F301" s="2"/>
      <c r="G301" s="2"/>
      <c r="H301" s="2"/>
      <c r="I301" s="2"/>
      <c r="J301" s="2"/>
      <c r="K301" s="2"/>
      <c r="L301" s="2"/>
      <c r="M301" s="2"/>
      <c r="N301" s="2"/>
      <c r="O301" s="2"/>
      <c r="P301" s="2"/>
      <c r="Q301" s="9"/>
      <c r="T301" s="4"/>
      <c r="U301" s="15"/>
      <c r="V301" s="11"/>
    </row>
    <row r="302" spans="2:22" x14ac:dyDescent="0.25">
      <c r="B302" s="8"/>
      <c r="C302" s="2"/>
      <c r="D302" s="2"/>
      <c r="E302" s="2"/>
      <c r="F302" s="2"/>
      <c r="G302" s="2"/>
      <c r="H302" s="2"/>
      <c r="I302" s="2"/>
      <c r="J302" s="2"/>
      <c r="K302" s="2"/>
      <c r="L302" s="2"/>
      <c r="M302" s="2"/>
      <c r="N302" s="2"/>
      <c r="O302" s="2"/>
      <c r="P302" s="2"/>
      <c r="Q302" s="9"/>
      <c r="T302" s="4"/>
      <c r="U302" s="15"/>
      <c r="V302" s="11"/>
    </row>
    <row r="303" spans="2:22" x14ac:dyDescent="0.25">
      <c r="B303" s="8"/>
      <c r="C303" s="2"/>
      <c r="D303" s="2"/>
      <c r="E303" s="2"/>
      <c r="F303" s="2"/>
      <c r="G303" s="2"/>
      <c r="H303" s="2"/>
      <c r="I303" s="2"/>
      <c r="J303" s="2"/>
      <c r="K303" s="2"/>
      <c r="L303" s="2"/>
      <c r="M303" s="2"/>
      <c r="N303" s="2"/>
      <c r="O303" s="2"/>
      <c r="P303" s="2"/>
      <c r="Q303" s="9"/>
      <c r="T303" s="4"/>
      <c r="U303" s="15"/>
      <c r="V303" s="11"/>
    </row>
    <row r="304" spans="2:22" x14ac:dyDescent="0.25">
      <c r="B304" s="8"/>
      <c r="C304" s="2"/>
      <c r="D304" s="2"/>
      <c r="E304" s="2"/>
      <c r="F304" s="2"/>
      <c r="G304" s="2"/>
      <c r="H304" s="2"/>
      <c r="I304" s="2"/>
      <c r="J304" s="2"/>
      <c r="K304" s="2"/>
      <c r="L304" s="2"/>
      <c r="M304" s="2"/>
      <c r="N304" s="2"/>
      <c r="O304" s="2"/>
      <c r="P304" s="2"/>
      <c r="Q304" s="9"/>
      <c r="T304" s="4"/>
      <c r="U304" s="15"/>
      <c r="V304" s="11"/>
    </row>
    <row r="305" spans="2:22" x14ac:dyDescent="0.25">
      <c r="B305" s="8"/>
      <c r="C305" s="2"/>
      <c r="D305" s="2"/>
      <c r="E305" s="2"/>
      <c r="F305" s="2"/>
      <c r="G305" s="2"/>
      <c r="H305" s="2"/>
      <c r="I305" s="2"/>
      <c r="J305" s="2"/>
      <c r="K305" s="2"/>
      <c r="L305" s="2"/>
      <c r="M305" s="2"/>
      <c r="N305" s="2"/>
      <c r="O305" s="2"/>
      <c r="P305" s="2"/>
      <c r="Q305" s="9"/>
      <c r="T305" s="4"/>
      <c r="U305" s="15"/>
      <c r="V305" s="11"/>
    </row>
    <row r="306" spans="2:22" x14ac:dyDescent="0.25">
      <c r="B306" s="8"/>
      <c r="C306" s="2"/>
      <c r="D306" s="2"/>
      <c r="E306" s="2"/>
      <c r="F306" s="2"/>
      <c r="G306" s="2"/>
      <c r="H306" s="2"/>
      <c r="I306" s="2"/>
      <c r="J306" s="2"/>
      <c r="K306" s="2"/>
      <c r="L306" s="2"/>
      <c r="M306" s="2"/>
      <c r="N306" s="2"/>
      <c r="O306" s="2"/>
      <c r="P306" s="2"/>
      <c r="Q306" s="9"/>
      <c r="T306" s="4"/>
      <c r="U306" s="15"/>
      <c r="V306" s="11"/>
    </row>
    <row r="307" spans="2:22" x14ac:dyDescent="0.25">
      <c r="B307" s="8"/>
      <c r="C307" s="2"/>
      <c r="D307" s="2"/>
      <c r="E307" s="2"/>
      <c r="F307" s="2"/>
      <c r="G307" s="2"/>
      <c r="H307" s="2"/>
      <c r="I307" s="2"/>
      <c r="J307" s="2"/>
      <c r="K307" s="2"/>
      <c r="L307" s="2"/>
      <c r="M307" s="2"/>
      <c r="N307" s="2"/>
      <c r="O307" s="2"/>
      <c r="P307" s="2"/>
      <c r="Q307" s="9"/>
      <c r="T307" s="4"/>
      <c r="U307" s="15"/>
      <c r="V307" s="11"/>
    </row>
    <row r="308" spans="2:22" x14ac:dyDescent="0.25">
      <c r="B308" s="8"/>
      <c r="C308" s="2"/>
      <c r="D308" s="2"/>
      <c r="E308" s="2"/>
      <c r="F308" s="2"/>
      <c r="G308" s="2"/>
      <c r="H308" s="2"/>
      <c r="I308" s="2"/>
      <c r="J308" s="2"/>
      <c r="K308" s="2"/>
      <c r="L308" s="2"/>
      <c r="M308" s="2"/>
      <c r="N308" s="2"/>
      <c r="O308" s="2"/>
      <c r="P308" s="2"/>
      <c r="Q308" s="9"/>
      <c r="T308" s="4"/>
      <c r="U308" s="15"/>
      <c r="V308" s="11"/>
    </row>
    <row r="309" spans="2:22" x14ac:dyDescent="0.25">
      <c r="B309" s="8"/>
      <c r="C309" s="2"/>
      <c r="D309" s="2"/>
      <c r="E309" s="2"/>
      <c r="F309" s="2"/>
      <c r="G309" s="2"/>
      <c r="H309" s="2"/>
      <c r="I309" s="2"/>
      <c r="J309" s="2"/>
      <c r="K309" s="2"/>
      <c r="L309" s="2"/>
      <c r="M309" s="2"/>
      <c r="N309" s="2"/>
      <c r="O309" s="2"/>
      <c r="P309" s="2"/>
      <c r="Q309" s="9"/>
      <c r="T309" s="4"/>
      <c r="U309" s="15"/>
      <c r="V309" s="11"/>
    </row>
    <row r="310" spans="2:22" x14ac:dyDescent="0.25">
      <c r="B310" s="8"/>
      <c r="C310" s="2"/>
      <c r="D310" s="2"/>
      <c r="E310" s="2"/>
      <c r="F310" s="2"/>
      <c r="G310" s="2"/>
      <c r="H310" s="2"/>
      <c r="I310" s="2"/>
      <c r="J310" s="2"/>
      <c r="K310" s="2"/>
      <c r="L310" s="2"/>
      <c r="M310" s="2"/>
      <c r="N310" s="2"/>
      <c r="O310" s="2"/>
      <c r="P310" s="2"/>
      <c r="Q310" s="9"/>
      <c r="T310" s="4"/>
      <c r="U310" s="15"/>
      <c r="V310" s="11"/>
    </row>
    <row r="311" spans="2:22" x14ac:dyDescent="0.25">
      <c r="B311" s="332"/>
      <c r="C311" s="331"/>
      <c r="D311" s="331"/>
      <c r="E311" s="331"/>
      <c r="F311" s="331"/>
      <c r="G311" s="331"/>
      <c r="H311" s="331"/>
      <c r="I311" s="331"/>
      <c r="J311" s="348" t="s">
        <v>621</v>
      </c>
      <c r="K311" s="331"/>
      <c r="L311" s="331"/>
      <c r="M311" s="331"/>
      <c r="N311" s="331"/>
      <c r="O311" s="331"/>
      <c r="P311" s="331"/>
      <c r="Q311" s="347"/>
      <c r="T311" s="4"/>
      <c r="U311" s="15"/>
      <c r="V311" s="11"/>
    </row>
    <row r="312" spans="2:22" x14ac:dyDescent="0.25">
      <c r="B312" s="340"/>
      <c r="C312" s="341"/>
      <c r="D312" s="341"/>
      <c r="E312" s="341"/>
      <c r="F312" s="341"/>
      <c r="G312" s="341"/>
      <c r="H312" s="341"/>
      <c r="I312" s="341"/>
      <c r="J312" s="341"/>
      <c r="K312" s="341"/>
      <c r="L312" s="341"/>
      <c r="M312" s="341"/>
      <c r="N312" s="429"/>
      <c r="O312" s="429"/>
      <c r="P312" s="429"/>
      <c r="Q312" s="342"/>
      <c r="T312" s="4"/>
      <c r="U312" s="15"/>
      <c r="V312" s="11"/>
    </row>
    <row r="313" spans="2:22" x14ac:dyDescent="0.25">
      <c r="B313" s="340"/>
      <c r="C313" s="341"/>
      <c r="D313" s="341"/>
      <c r="E313" s="341"/>
      <c r="F313" s="341"/>
      <c r="G313" s="341"/>
      <c r="H313" s="341"/>
      <c r="I313" s="341"/>
      <c r="J313" s="341"/>
      <c r="K313" s="341"/>
      <c r="L313" s="341"/>
      <c r="M313" s="343"/>
      <c r="N313" s="429"/>
      <c r="O313" s="429"/>
      <c r="P313" s="429"/>
      <c r="Q313" s="342"/>
      <c r="T313" s="4"/>
      <c r="U313" s="15"/>
      <c r="V313" s="11"/>
    </row>
    <row r="314" spans="2:22" ht="78" customHeight="1" thickBot="1" x14ac:dyDescent="0.3">
      <c r="B314" s="344"/>
      <c r="C314" s="345"/>
      <c r="D314" s="345"/>
      <c r="E314" s="345"/>
      <c r="F314" s="345"/>
      <c r="G314" s="345"/>
      <c r="H314" s="345"/>
      <c r="I314" s="345"/>
      <c r="J314" s="345"/>
      <c r="K314" s="345"/>
      <c r="L314" s="345"/>
      <c r="M314" s="345"/>
      <c r="N314" s="430"/>
      <c r="O314" s="430"/>
      <c r="P314" s="430"/>
      <c r="Q314" s="346"/>
      <c r="T314" s="4"/>
      <c r="U314" s="15"/>
      <c r="V314" s="11"/>
    </row>
    <row r="315" spans="2:22" x14ac:dyDescent="0.25">
      <c r="B315" s="2"/>
      <c r="C315" s="2"/>
      <c r="D315" s="2"/>
      <c r="E315" s="2"/>
      <c r="F315" s="2"/>
      <c r="G315" s="2"/>
      <c r="K315" s="2"/>
      <c r="L315" s="2"/>
      <c r="M315" s="2"/>
      <c r="N315" s="2"/>
      <c r="O315" s="2"/>
      <c r="P315" s="2"/>
      <c r="Q315" s="2"/>
      <c r="T315" s="4"/>
      <c r="U315" s="15"/>
      <c r="V315" s="11"/>
    </row>
    <row r="316" spans="2:22" x14ac:dyDescent="0.25">
      <c r="B316" s="2"/>
      <c r="C316" s="2"/>
      <c r="D316" s="2"/>
      <c r="E316" s="2"/>
      <c r="F316" s="2"/>
      <c r="G316" s="2"/>
      <c r="K316" s="2"/>
      <c r="L316" s="2"/>
      <c r="M316" s="2"/>
      <c r="N316" s="2"/>
      <c r="O316" s="2"/>
      <c r="P316" s="2"/>
      <c r="Q316" s="2"/>
      <c r="T316" s="4"/>
      <c r="U316" s="15"/>
      <c r="V316" s="11"/>
    </row>
    <row r="317" spans="2:22" x14ac:dyDescent="0.25">
      <c r="B317" s="2"/>
      <c r="C317" s="2"/>
      <c r="D317" s="2"/>
      <c r="E317" s="2"/>
      <c r="F317" s="2"/>
      <c r="G317" s="2"/>
      <c r="K317" s="2"/>
      <c r="L317" s="2"/>
      <c r="M317" s="2"/>
      <c r="N317" s="2"/>
      <c r="O317" s="2"/>
      <c r="P317" s="2"/>
      <c r="Q317" s="2"/>
      <c r="T317" s="4"/>
      <c r="U317" s="15"/>
      <c r="V317" s="11"/>
    </row>
    <row r="318" spans="2:22" x14ac:dyDescent="0.25">
      <c r="B318" s="2"/>
      <c r="C318" s="2"/>
      <c r="D318" s="2"/>
      <c r="E318" s="2"/>
      <c r="F318" s="2"/>
      <c r="G318" s="2"/>
      <c r="K318" s="2"/>
      <c r="L318" s="2"/>
      <c r="M318" s="2"/>
      <c r="N318" s="2"/>
      <c r="O318" s="2"/>
      <c r="P318" s="2"/>
      <c r="Q318" s="2"/>
      <c r="T318" s="4"/>
      <c r="U318" s="15"/>
      <c r="V318" s="11"/>
    </row>
    <row r="319" spans="2:22" x14ac:dyDescent="0.25">
      <c r="B319" s="2"/>
      <c r="C319" s="2"/>
      <c r="D319" s="2"/>
      <c r="E319" s="2"/>
      <c r="F319" s="2"/>
      <c r="G319" s="2"/>
      <c r="K319" s="2"/>
      <c r="L319" s="2"/>
      <c r="M319" s="2"/>
      <c r="N319" s="2"/>
      <c r="O319" s="2"/>
      <c r="P319" s="2"/>
      <c r="Q319" s="2"/>
      <c r="T319" s="4"/>
      <c r="U319" s="15"/>
      <c r="V319" s="11"/>
    </row>
    <row r="320" spans="2:22" x14ac:dyDescent="0.25">
      <c r="B320" s="2"/>
      <c r="C320" s="2"/>
      <c r="D320" s="2"/>
      <c r="E320" s="2"/>
      <c r="F320" s="2"/>
      <c r="G320" s="2"/>
      <c r="H320" s="2" t="s">
        <v>334</v>
      </c>
      <c r="I320" s="2"/>
      <c r="J320" s="2"/>
      <c r="K320" s="2"/>
      <c r="L320" s="2"/>
      <c r="M320" s="2"/>
      <c r="N320" s="2"/>
      <c r="O320" s="2"/>
      <c r="P320" s="2"/>
      <c r="Q320" s="2"/>
      <c r="T320" s="4"/>
      <c r="U320" s="15"/>
      <c r="V320" s="11"/>
    </row>
    <row r="321" spans="2:22" x14ac:dyDescent="0.25">
      <c r="B321" s="2"/>
      <c r="C321" s="2"/>
      <c r="D321" s="2"/>
      <c r="E321" s="2"/>
      <c r="F321" s="2"/>
      <c r="G321" s="2"/>
      <c r="H321" s="2"/>
      <c r="I321" s="2"/>
      <c r="J321" s="2"/>
      <c r="K321" s="2"/>
      <c r="L321" s="2"/>
      <c r="M321" s="2"/>
      <c r="N321" s="2"/>
      <c r="O321" s="2"/>
      <c r="P321" s="2"/>
      <c r="Q321" s="2"/>
      <c r="T321" s="4"/>
      <c r="U321" s="15"/>
      <c r="V321" s="11"/>
    </row>
    <row r="322" spans="2:22" x14ac:dyDescent="0.25">
      <c r="B322" s="2"/>
      <c r="C322" s="2"/>
      <c r="D322" s="2"/>
      <c r="E322" s="2"/>
      <c r="F322" s="2"/>
      <c r="G322" s="2"/>
      <c r="H322" s="2"/>
      <c r="I322" s="2"/>
      <c r="J322" s="2"/>
      <c r="K322" s="2"/>
      <c r="L322" s="2"/>
      <c r="M322" s="2"/>
      <c r="N322" s="2"/>
      <c r="O322" s="2"/>
      <c r="P322" s="2"/>
      <c r="Q322" s="2"/>
      <c r="T322" s="4"/>
      <c r="U322" s="15"/>
      <c r="V322" s="11"/>
    </row>
    <row r="323" spans="2:22" x14ac:dyDescent="0.25">
      <c r="B323" s="2"/>
      <c r="C323" s="2"/>
      <c r="D323" s="2"/>
      <c r="E323" s="2"/>
      <c r="F323" s="2"/>
      <c r="G323" s="2"/>
      <c r="H323" s="2"/>
      <c r="I323" s="2"/>
      <c r="J323" s="2"/>
      <c r="K323" s="2"/>
      <c r="L323" s="2"/>
      <c r="M323" s="2"/>
      <c r="N323" s="2"/>
      <c r="O323" s="2"/>
      <c r="P323" s="2"/>
      <c r="Q323" s="2"/>
      <c r="T323" s="4"/>
      <c r="U323" s="15"/>
      <c r="V323" s="11"/>
    </row>
    <row r="324" spans="2:22" x14ac:dyDescent="0.25">
      <c r="B324" s="2"/>
      <c r="C324" s="2"/>
      <c r="D324" s="2"/>
      <c r="E324" s="2"/>
      <c r="F324" s="2"/>
      <c r="G324" s="2"/>
      <c r="H324" s="2"/>
      <c r="I324" s="2"/>
      <c r="J324" s="2"/>
      <c r="K324" s="2"/>
      <c r="L324" s="2"/>
      <c r="M324" s="2"/>
      <c r="N324" s="2"/>
      <c r="O324" s="2"/>
      <c r="P324" s="2"/>
      <c r="Q324" s="2"/>
      <c r="T324" s="4"/>
      <c r="U324" s="15"/>
      <c r="V324" s="11"/>
    </row>
    <row r="325" spans="2:22" x14ac:dyDescent="0.25">
      <c r="B325" s="2"/>
      <c r="C325" s="2"/>
      <c r="D325" s="2"/>
      <c r="E325" s="2"/>
      <c r="F325" s="2"/>
      <c r="G325" s="2"/>
      <c r="H325" s="2"/>
      <c r="I325" s="2"/>
      <c r="J325" s="2"/>
      <c r="K325" s="2"/>
      <c r="L325" s="2"/>
      <c r="M325" s="2"/>
      <c r="N325" s="2"/>
      <c r="O325" s="2"/>
      <c r="P325" s="2"/>
      <c r="Q325" s="2"/>
      <c r="T325" s="4"/>
      <c r="U325" s="15"/>
      <c r="V325" s="11"/>
    </row>
    <row r="326" spans="2:22" x14ac:dyDescent="0.25">
      <c r="B326" s="2"/>
      <c r="C326" s="2"/>
      <c r="D326" s="2"/>
      <c r="E326" s="2"/>
      <c r="F326" s="2"/>
      <c r="G326" s="2"/>
      <c r="H326" s="2"/>
      <c r="I326" s="2"/>
      <c r="J326" s="2"/>
      <c r="K326" s="2"/>
      <c r="L326" s="2"/>
      <c r="M326" s="2"/>
      <c r="N326" s="2"/>
      <c r="O326" s="2"/>
      <c r="P326" s="2"/>
      <c r="Q326" s="2"/>
      <c r="T326" s="4"/>
      <c r="U326" s="15"/>
      <c r="V326" s="11"/>
    </row>
    <row r="327" spans="2:22" x14ac:dyDescent="0.25">
      <c r="B327" s="2"/>
      <c r="C327" s="2"/>
      <c r="D327" s="2"/>
      <c r="E327" s="2"/>
      <c r="F327" s="2"/>
      <c r="G327" s="2"/>
      <c r="H327" s="2"/>
      <c r="I327" s="2"/>
      <c r="J327" s="2"/>
      <c r="K327" s="2"/>
      <c r="L327" s="2"/>
      <c r="M327" s="2"/>
      <c r="N327" s="2"/>
      <c r="O327" s="2"/>
      <c r="P327" s="2"/>
      <c r="Q327" s="2"/>
      <c r="T327" s="4"/>
      <c r="U327" s="15"/>
      <c r="V327" s="11"/>
    </row>
    <row r="328" spans="2:22" x14ac:dyDescent="0.25">
      <c r="B328" s="2"/>
      <c r="C328" s="2"/>
      <c r="D328" s="2"/>
      <c r="E328" s="2"/>
      <c r="F328" s="2"/>
      <c r="G328" s="2"/>
      <c r="H328" s="2"/>
      <c r="I328" s="2"/>
      <c r="J328" s="2"/>
      <c r="K328" s="2"/>
      <c r="L328" s="2"/>
      <c r="M328" s="2"/>
      <c r="N328" s="2"/>
      <c r="O328" s="2"/>
      <c r="P328" s="2"/>
      <c r="Q328" s="2"/>
      <c r="T328" s="4"/>
      <c r="U328" s="15"/>
      <c r="V328" s="11"/>
    </row>
    <row r="329" spans="2:22" x14ac:dyDescent="0.25">
      <c r="B329" s="2"/>
      <c r="C329" s="2"/>
      <c r="D329" s="2"/>
      <c r="E329" s="2"/>
      <c r="F329" s="2"/>
      <c r="G329" s="2"/>
      <c r="H329" s="2"/>
      <c r="I329" s="2"/>
      <c r="J329" s="2"/>
      <c r="K329" s="2"/>
      <c r="L329" s="2"/>
      <c r="M329" s="2"/>
      <c r="N329" s="2"/>
      <c r="O329" s="2"/>
      <c r="P329" s="2"/>
      <c r="Q329" s="2"/>
      <c r="T329" s="4"/>
      <c r="U329" s="15"/>
      <c r="V329" s="11"/>
    </row>
    <row r="330" spans="2:22" x14ac:dyDescent="0.25">
      <c r="B330" s="2"/>
      <c r="C330" s="2"/>
      <c r="D330" s="2"/>
      <c r="E330" s="2"/>
      <c r="F330" s="2"/>
      <c r="G330" s="2"/>
      <c r="H330" s="2"/>
      <c r="I330" s="2"/>
      <c r="J330" s="2"/>
      <c r="K330" s="2"/>
      <c r="L330" s="2"/>
      <c r="M330" s="2"/>
      <c r="N330" s="2"/>
      <c r="O330" s="2"/>
      <c r="P330" s="2"/>
      <c r="Q330" s="2"/>
      <c r="T330" s="4"/>
      <c r="U330" s="15"/>
      <c r="V330" s="11"/>
    </row>
    <row r="331" spans="2:22" x14ac:dyDescent="0.25">
      <c r="B331" s="2"/>
      <c r="C331" s="2"/>
      <c r="D331" s="2"/>
      <c r="E331" s="2"/>
      <c r="F331" s="2"/>
      <c r="G331" s="2"/>
      <c r="H331" s="2"/>
      <c r="I331" s="2"/>
      <c r="J331" s="2"/>
      <c r="K331" s="2"/>
      <c r="L331" s="2"/>
      <c r="M331" s="2"/>
      <c r="N331" s="2"/>
      <c r="O331" s="2"/>
      <c r="P331" s="2"/>
      <c r="Q331" s="2"/>
      <c r="T331" s="4"/>
      <c r="U331" s="15"/>
      <c r="V331" s="11"/>
    </row>
    <row r="332" spans="2:22" x14ac:dyDescent="0.25">
      <c r="B332" s="2"/>
      <c r="C332" s="2"/>
      <c r="D332" s="2"/>
      <c r="E332" s="2"/>
      <c r="F332" s="2"/>
      <c r="G332" s="2"/>
      <c r="H332" s="2"/>
      <c r="I332" s="2"/>
      <c r="J332" s="2"/>
      <c r="K332" s="2"/>
      <c r="L332" s="2"/>
      <c r="M332" s="2"/>
      <c r="N332" s="2"/>
      <c r="O332" s="2"/>
      <c r="P332" s="2"/>
      <c r="Q332" s="2"/>
      <c r="T332" s="4"/>
      <c r="U332" s="15"/>
      <c r="V332" s="11"/>
    </row>
    <row r="333" spans="2:22" x14ac:dyDescent="0.25">
      <c r="B333" s="2"/>
      <c r="C333" s="2"/>
      <c r="D333" s="2"/>
      <c r="E333" s="2"/>
      <c r="F333" s="2"/>
      <c r="G333" s="2"/>
      <c r="H333" s="2"/>
      <c r="I333" s="2"/>
      <c r="J333" s="2"/>
      <c r="K333" s="2"/>
      <c r="L333" s="2"/>
      <c r="M333" s="2"/>
      <c r="N333" s="2"/>
      <c r="O333" s="2"/>
      <c r="P333" s="2"/>
      <c r="Q333" s="2"/>
      <c r="T333" s="4"/>
      <c r="U333" s="15"/>
      <c r="V333" s="11"/>
    </row>
    <row r="334" spans="2:22" x14ac:dyDescent="0.25">
      <c r="B334" s="2"/>
      <c r="C334" s="2"/>
      <c r="D334" s="2"/>
      <c r="E334" s="2"/>
      <c r="F334" s="2"/>
      <c r="G334" s="2"/>
      <c r="H334" s="2"/>
      <c r="I334" s="2"/>
      <c r="J334" s="2"/>
      <c r="K334" s="2"/>
      <c r="L334" s="2"/>
      <c r="M334" s="2"/>
      <c r="N334" s="2"/>
      <c r="O334" s="2"/>
      <c r="P334" s="2"/>
      <c r="Q334" s="2"/>
      <c r="T334" s="4"/>
      <c r="U334" s="15"/>
      <c r="V334" s="11"/>
    </row>
    <row r="335" spans="2:22" x14ac:dyDescent="0.25">
      <c r="B335" s="2"/>
      <c r="C335" s="2"/>
      <c r="D335" s="2"/>
      <c r="E335" s="2"/>
      <c r="F335" s="2"/>
      <c r="G335" s="2"/>
      <c r="H335" s="2"/>
      <c r="I335" s="2"/>
      <c r="J335" s="2"/>
      <c r="K335" s="2"/>
      <c r="L335" s="2"/>
      <c r="M335" s="2"/>
      <c r="N335" s="2"/>
      <c r="O335" s="2"/>
      <c r="P335" s="2"/>
      <c r="Q335" s="2"/>
      <c r="T335" s="4"/>
      <c r="U335" s="15"/>
      <c r="V335" s="11"/>
    </row>
    <row r="336" spans="2:22" x14ac:dyDescent="0.25">
      <c r="B336" s="2"/>
      <c r="C336" s="2"/>
      <c r="D336" s="2"/>
      <c r="E336" s="2"/>
      <c r="F336" s="2"/>
      <c r="G336" s="2"/>
      <c r="H336" s="2"/>
      <c r="I336" s="2"/>
      <c r="J336" s="2"/>
      <c r="K336" s="2"/>
      <c r="L336" s="2"/>
      <c r="M336" s="2"/>
      <c r="N336" s="2"/>
      <c r="O336" s="2"/>
      <c r="P336" s="2"/>
      <c r="Q336" s="2"/>
      <c r="T336" s="4"/>
      <c r="U336" s="15"/>
      <c r="V336" s="11"/>
    </row>
    <row r="337" spans="2:22" x14ac:dyDescent="0.25">
      <c r="B337" s="2"/>
      <c r="C337" s="2"/>
      <c r="D337" s="2"/>
      <c r="E337" s="2"/>
      <c r="F337" s="2"/>
      <c r="G337" s="2"/>
      <c r="H337" s="2"/>
      <c r="I337" s="2"/>
      <c r="J337" s="2"/>
      <c r="K337" s="2"/>
      <c r="L337" s="2"/>
      <c r="M337" s="2"/>
      <c r="N337" s="2"/>
      <c r="O337" s="2"/>
      <c r="P337" s="2"/>
      <c r="Q337" s="2"/>
      <c r="T337" s="4"/>
      <c r="U337" s="15"/>
      <c r="V337" s="11"/>
    </row>
    <row r="338" spans="2:22" x14ac:dyDescent="0.25">
      <c r="B338" s="2"/>
      <c r="C338" s="2"/>
      <c r="D338" s="2"/>
      <c r="E338" s="2"/>
      <c r="F338" s="2"/>
      <c r="G338" s="2"/>
      <c r="H338" s="2"/>
      <c r="I338" s="2"/>
      <c r="J338" s="2"/>
      <c r="K338" s="2"/>
      <c r="L338" s="2"/>
      <c r="M338" s="2"/>
      <c r="N338" s="2"/>
      <c r="O338" s="2"/>
      <c r="P338" s="2"/>
      <c r="Q338" s="2"/>
      <c r="T338" s="4"/>
      <c r="U338" s="15"/>
      <c r="V338" s="11"/>
    </row>
    <row r="339" spans="2:22" x14ac:dyDescent="0.25">
      <c r="B339" s="2"/>
      <c r="C339" s="2"/>
      <c r="D339" s="2"/>
      <c r="E339" s="2"/>
      <c r="F339" s="2"/>
      <c r="G339" s="2"/>
      <c r="H339" s="2"/>
      <c r="I339" s="2"/>
      <c r="J339" s="2"/>
      <c r="K339" s="2"/>
      <c r="L339" s="2"/>
      <c r="M339" s="2"/>
      <c r="N339" s="2"/>
      <c r="O339" s="2"/>
      <c r="P339" s="2"/>
      <c r="Q339" s="2"/>
      <c r="T339" s="4"/>
      <c r="U339" s="15"/>
      <c r="V339" s="11"/>
    </row>
    <row r="340" spans="2:22" x14ac:dyDescent="0.25">
      <c r="B340" s="2"/>
      <c r="C340" s="2"/>
      <c r="D340" s="2"/>
      <c r="E340" s="2"/>
      <c r="F340" s="2"/>
      <c r="G340" s="2"/>
      <c r="H340" s="2"/>
      <c r="I340" s="2"/>
      <c r="J340" s="2"/>
      <c r="K340" s="2"/>
      <c r="L340" s="2"/>
      <c r="M340" s="2"/>
      <c r="N340" s="2"/>
      <c r="O340" s="2"/>
      <c r="P340" s="2"/>
      <c r="Q340" s="2"/>
      <c r="T340" s="4"/>
      <c r="U340" s="15"/>
      <c r="V340" s="11"/>
    </row>
    <row r="341" spans="2:22" x14ac:dyDescent="0.25">
      <c r="B341" s="2"/>
      <c r="C341" s="2"/>
      <c r="D341" s="2"/>
      <c r="E341" s="2"/>
      <c r="F341" s="2"/>
      <c r="G341" s="2"/>
      <c r="H341" s="2"/>
      <c r="I341" s="2"/>
      <c r="J341" s="2"/>
      <c r="K341" s="2"/>
      <c r="L341" s="2"/>
      <c r="M341" s="2"/>
      <c r="N341" s="2"/>
      <c r="O341" s="2"/>
      <c r="P341" s="2"/>
      <c r="Q341" s="2"/>
      <c r="T341" s="4"/>
      <c r="U341" s="15"/>
      <c r="V341" s="11"/>
    </row>
    <row r="342" spans="2:22" x14ac:dyDescent="0.25">
      <c r="B342" s="2"/>
      <c r="C342" s="2"/>
      <c r="D342" s="2"/>
      <c r="E342" s="2"/>
      <c r="F342" s="2"/>
      <c r="G342" s="2"/>
      <c r="H342" s="2"/>
      <c r="I342" s="2"/>
      <c r="J342" s="2"/>
      <c r="K342" s="2"/>
      <c r="L342" s="2"/>
      <c r="M342" s="2"/>
      <c r="N342" s="2"/>
      <c r="O342" s="2"/>
      <c r="P342" s="2"/>
      <c r="Q342" s="2"/>
      <c r="T342" s="4"/>
      <c r="U342" s="15"/>
      <c r="V342" s="11"/>
    </row>
    <row r="343" spans="2:22" x14ac:dyDescent="0.25">
      <c r="B343" s="2"/>
      <c r="C343" s="2"/>
      <c r="D343" s="2"/>
      <c r="E343" s="2"/>
      <c r="F343" s="2"/>
      <c r="G343" s="2"/>
      <c r="H343" s="2"/>
      <c r="I343" s="2"/>
      <c r="J343" s="2"/>
      <c r="K343" s="2"/>
      <c r="L343" s="2"/>
      <c r="M343" s="2"/>
      <c r="N343" s="2"/>
      <c r="O343" s="2"/>
      <c r="P343" s="2"/>
      <c r="Q343" s="2"/>
      <c r="T343" s="4"/>
      <c r="U343" s="15"/>
      <c r="V343" s="11"/>
    </row>
    <row r="344" spans="2:22" x14ac:dyDescent="0.25">
      <c r="B344" s="2"/>
      <c r="C344" s="2"/>
      <c r="D344" s="2"/>
      <c r="E344" s="2"/>
      <c r="F344" s="2"/>
      <c r="G344" s="2"/>
      <c r="H344" s="2"/>
      <c r="I344" s="2"/>
      <c r="J344" s="2"/>
      <c r="K344" s="2"/>
      <c r="L344" s="2"/>
      <c r="M344" s="2"/>
      <c r="N344" s="2"/>
      <c r="O344" s="2"/>
      <c r="P344" s="2"/>
      <c r="Q344" s="2"/>
      <c r="T344" s="4"/>
      <c r="U344" s="15"/>
      <c r="V344" s="11"/>
    </row>
    <row r="345" spans="2:22" x14ac:dyDescent="0.25">
      <c r="B345" s="2"/>
      <c r="C345" s="2"/>
      <c r="D345" s="2"/>
      <c r="E345" s="2"/>
      <c r="F345" s="2"/>
      <c r="G345" s="2"/>
      <c r="H345" s="2"/>
      <c r="I345" s="2"/>
      <c r="J345" s="2"/>
      <c r="K345" s="2"/>
      <c r="L345" s="2"/>
      <c r="M345" s="2"/>
      <c r="N345" s="2"/>
      <c r="O345" s="2"/>
      <c r="P345" s="2"/>
      <c r="Q345" s="2"/>
      <c r="T345" s="4"/>
      <c r="U345" s="15"/>
      <c r="V345" s="11"/>
    </row>
    <row r="346" spans="2:22" x14ac:dyDescent="0.25">
      <c r="B346" s="2"/>
      <c r="C346" s="2"/>
      <c r="D346" s="2"/>
      <c r="E346" s="2"/>
      <c r="F346" s="2"/>
      <c r="G346" s="2"/>
      <c r="H346" s="2"/>
      <c r="I346" s="2"/>
      <c r="J346" s="2"/>
      <c r="K346" s="2"/>
      <c r="L346" s="2"/>
      <c r="M346" s="2"/>
      <c r="N346" s="2"/>
      <c r="O346" s="2"/>
      <c r="P346" s="2"/>
      <c r="Q346" s="2"/>
      <c r="T346" s="4"/>
      <c r="U346" s="15"/>
      <c r="V346" s="11"/>
    </row>
    <row r="347" spans="2:22" x14ac:dyDescent="0.25">
      <c r="B347" s="2"/>
      <c r="C347" s="2"/>
      <c r="D347" s="2"/>
      <c r="E347" s="2"/>
      <c r="F347" s="2"/>
      <c r="G347" s="2"/>
      <c r="H347" s="2"/>
      <c r="I347" s="2"/>
      <c r="J347" s="2"/>
      <c r="K347" s="2"/>
      <c r="L347" s="2"/>
      <c r="M347" s="2"/>
      <c r="N347" s="2"/>
      <c r="O347" s="2"/>
      <c r="P347" s="2"/>
      <c r="Q347" s="2"/>
      <c r="T347" s="4"/>
      <c r="U347" s="15"/>
      <c r="V347" s="11"/>
    </row>
    <row r="348" spans="2:22" x14ac:dyDescent="0.25">
      <c r="B348" s="2"/>
      <c r="C348" s="2"/>
      <c r="D348" s="2"/>
      <c r="E348" s="2"/>
      <c r="F348" s="2"/>
      <c r="G348" s="2"/>
      <c r="H348" s="2"/>
      <c r="I348" s="2"/>
      <c r="J348" s="2"/>
      <c r="K348" s="2"/>
      <c r="L348" s="2"/>
      <c r="M348" s="2"/>
      <c r="N348" s="2"/>
      <c r="O348" s="2"/>
      <c r="P348" s="2"/>
      <c r="Q348" s="2"/>
      <c r="T348" s="4"/>
      <c r="U348" s="15"/>
      <c r="V348" s="11"/>
    </row>
    <row r="349" spans="2:22" x14ac:dyDescent="0.25">
      <c r="B349" s="2"/>
      <c r="C349" s="2"/>
      <c r="D349" s="2"/>
      <c r="E349" s="2"/>
      <c r="F349" s="2"/>
      <c r="G349" s="2"/>
      <c r="H349" s="2"/>
      <c r="I349" s="2"/>
      <c r="J349" s="2"/>
      <c r="K349" s="2"/>
      <c r="L349" s="2"/>
      <c r="M349" s="2"/>
      <c r="N349" s="2"/>
      <c r="O349" s="2"/>
      <c r="P349" s="2"/>
      <c r="Q349" s="2"/>
      <c r="T349" s="4"/>
      <c r="U349" s="15"/>
      <c r="V349" s="11"/>
    </row>
    <row r="350" spans="2:22" x14ac:dyDescent="0.25">
      <c r="B350" s="2"/>
      <c r="C350" s="2"/>
      <c r="D350" s="2"/>
      <c r="E350" s="2"/>
      <c r="F350" s="2"/>
      <c r="G350" s="2"/>
      <c r="H350" s="2"/>
      <c r="I350" s="2"/>
      <c r="J350" s="2"/>
      <c r="K350" s="2"/>
      <c r="L350" s="2"/>
      <c r="M350" s="2"/>
      <c r="N350" s="2"/>
      <c r="O350" s="2"/>
      <c r="P350" s="2"/>
      <c r="Q350" s="2"/>
      <c r="T350" s="4"/>
      <c r="U350" s="15"/>
      <c r="V350" s="11"/>
    </row>
    <row r="351" spans="2:22" x14ac:dyDescent="0.25">
      <c r="B351" s="2"/>
      <c r="C351" s="2"/>
      <c r="D351" s="2"/>
      <c r="E351" s="2"/>
      <c r="F351" s="2"/>
      <c r="G351" s="2"/>
      <c r="H351" s="2"/>
      <c r="I351" s="2"/>
      <c r="J351" s="2"/>
      <c r="K351" s="2"/>
      <c r="L351" s="2"/>
      <c r="M351" s="2"/>
      <c r="N351" s="2"/>
      <c r="O351" s="2"/>
      <c r="P351" s="2"/>
      <c r="Q351" s="2"/>
      <c r="T351" s="4"/>
      <c r="U351" s="15"/>
      <c r="V351" s="11"/>
    </row>
    <row r="352" spans="2:22" x14ac:dyDescent="0.25">
      <c r="B352" s="2"/>
      <c r="C352" s="2"/>
      <c r="D352" s="2"/>
      <c r="E352" s="2"/>
      <c r="F352" s="2"/>
      <c r="G352" s="2"/>
      <c r="H352" s="2"/>
      <c r="I352" s="2"/>
      <c r="J352" s="2"/>
      <c r="K352" s="2"/>
      <c r="L352" s="2"/>
      <c r="M352" s="2"/>
      <c r="N352" s="2"/>
      <c r="O352" s="2"/>
      <c r="P352" s="2"/>
      <c r="Q352" s="2"/>
      <c r="T352" s="4"/>
      <c r="U352" s="15"/>
      <c r="V352" s="11"/>
    </row>
    <row r="353" spans="2:22" x14ac:dyDescent="0.25">
      <c r="B353" s="2"/>
      <c r="C353" s="2"/>
      <c r="D353" s="2"/>
      <c r="E353" s="2"/>
      <c r="F353" s="2"/>
      <c r="G353" s="2"/>
      <c r="H353" s="2"/>
      <c r="I353" s="2"/>
      <c r="J353" s="2"/>
      <c r="K353" s="2"/>
      <c r="L353" s="2"/>
      <c r="M353" s="2"/>
      <c r="N353" s="2"/>
      <c r="O353" s="2"/>
      <c r="P353" s="2"/>
      <c r="Q353" s="2"/>
      <c r="T353" s="4"/>
      <c r="U353" s="15"/>
      <c r="V353" s="11"/>
    </row>
    <row r="354" spans="2:22" x14ac:dyDescent="0.25">
      <c r="B354" s="2"/>
      <c r="C354" s="2"/>
      <c r="D354" s="2"/>
      <c r="E354" s="2"/>
      <c r="F354" s="2"/>
      <c r="G354" s="2"/>
      <c r="H354" s="2"/>
      <c r="I354" s="2"/>
      <c r="J354" s="2"/>
      <c r="K354" s="2"/>
      <c r="L354" s="2"/>
      <c r="M354" s="2"/>
      <c r="N354" s="2"/>
      <c r="O354" s="2"/>
      <c r="P354" s="2"/>
      <c r="Q354" s="2"/>
      <c r="T354" s="4"/>
      <c r="U354" s="15"/>
      <c r="V354" s="11"/>
    </row>
    <row r="355" spans="2:22" x14ac:dyDescent="0.25">
      <c r="B355" s="2"/>
      <c r="C355" s="2"/>
      <c r="D355" s="2"/>
      <c r="E355" s="2"/>
      <c r="F355" s="2"/>
      <c r="G355" s="2"/>
      <c r="H355" s="2"/>
      <c r="I355" s="2"/>
      <c r="J355" s="2"/>
      <c r="K355" s="2"/>
      <c r="L355" s="2"/>
      <c r="M355" s="2"/>
      <c r="N355" s="2"/>
      <c r="O355" s="2"/>
      <c r="P355" s="2"/>
      <c r="Q355" s="2"/>
      <c r="T355" s="4"/>
      <c r="U355" s="15"/>
      <c r="V355" s="11"/>
    </row>
    <row r="356" spans="2:22" x14ac:dyDescent="0.25">
      <c r="B356" s="2"/>
      <c r="C356" s="2"/>
      <c r="D356" s="2"/>
      <c r="E356" s="2"/>
      <c r="F356" s="2"/>
      <c r="G356" s="2"/>
      <c r="H356" s="2"/>
      <c r="I356" s="2"/>
      <c r="J356" s="2"/>
      <c r="K356" s="2"/>
      <c r="L356" s="2"/>
      <c r="M356" s="2"/>
      <c r="N356" s="2"/>
      <c r="O356" s="2"/>
      <c r="P356" s="2"/>
      <c r="Q356" s="2"/>
      <c r="T356" s="4"/>
      <c r="U356" s="15"/>
      <c r="V356" s="11"/>
    </row>
    <row r="357" spans="2:22" x14ac:dyDescent="0.25">
      <c r="B357" s="2"/>
      <c r="C357" s="2"/>
      <c r="D357" s="2"/>
      <c r="E357" s="2"/>
      <c r="F357" s="2"/>
      <c r="G357" s="2"/>
      <c r="H357" s="2"/>
      <c r="I357" s="2"/>
      <c r="J357" s="2"/>
      <c r="K357" s="2"/>
      <c r="L357" s="2"/>
      <c r="M357" s="2"/>
      <c r="N357" s="2"/>
      <c r="O357" s="2"/>
      <c r="P357" s="2"/>
      <c r="Q357" s="2"/>
      <c r="T357" s="4"/>
      <c r="U357" s="15"/>
      <c r="V357" s="11"/>
    </row>
    <row r="358" spans="2:22" x14ac:dyDescent="0.25">
      <c r="B358" s="2"/>
      <c r="C358" s="2"/>
      <c r="D358" s="2"/>
      <c r="E358" s="2"/>
      <c r="F358" s="2"/>
      <c r="G358" s="2"/>
      <c r="H358" s="2"/>
      <c r="I358" s="2"/>
      <c r="J358" s="2"/>
      <c r="K358" s="2"/>
      <c r="L358" s="2"/>
      <c r="M358" s="2"/>
      <c r="N358" s="2"/>
      <c r="O358" s="2"/>
      <c r="P358" s="2"/>
      <c r="Q358" s="2"/>
      <c r="T358" s="4"/>
      <c r="U358" s="15"/>
      <c r="V358" s="11"/>
    </row>
    <row r="359" spans="2:22" x14ac:dyDescent="0.25">
      <c r="B359" s="2"/>
      <c r="C359" s="2"/>
      <c r="D359" s="2"/>
      <c r="E359" s="2"/>
      <c r="F359" s="2"/>
      <c r="G359" s="2"/>
      <c r="H359" s="2"/>
      <c r="I359" s="2"/>
      <c r="J359" s="2"/>
      <c r="K359" s="2"/>
      <c r="L359" s="2"/>
      <c r="M359" s="2"/>
      <c r="N359" s="2"/>
      <c r="O359" s="2"/>
      <c r="P359" s="2"/>
      <c r="Q359" s="2"/>
      <c r="T359" s="4"/>
      <c r="U359" s="15"/>
      <c r="V359" s="11"/>
    </row>
    <row r="360" spans="2:22" x14ac:dyDescent="0.25">
      <c r="B360" s="2"/>
      <c r="C360" s="2"/>
      <c r="D360" s="2"/>
      <c r="E360" s="2"/>
      <c r="F360" s="2"/>
      <c r="G360" s="2"/>
      <c r="H360" s="2"/>
      <c r="I360" s="2"/>
      <c r="J360" s="2"/>
      <c r="K360" s="2"/>
      <c r="L360" s="2"/>
      <c r="M360" s="2"/>
      <c r="N360" s="2"/>
      <c r="O360" s="2"/>
      <c r="P360" s="2"/>
      <c r="Q360" s="2"/>
      <c r="T360" s="4"/>
      <c r="U360" s="15"/>
      <c r="V360" s="11"/>
    </row>
    <row r="361" spans="2:22" x14ac:dyDescent="0.25">
      <c r="B361" s="2"/>
      <c r="C361" s="2"/>
      <c r="D361" s="2"/>
      <c r="E361" s="2"/>
      <c r="F361" s="2"/>
      <c r="G361" s="2"/>
      <c r="H361" s="2"/>
      <c r="I361" s="2"/>
      <c r="J361" s="2"/>
      <c r="K361" s="2"/>
      <c r="L361" s="2"/>
      <c r="M361" s="2"/>
      <c r="N361" s="2"/>
      <c r="O361" s="2"/>
      <c r="P361" s="2"/>
      <c r="Q361" s="2"/>
      <c r="T361" s="4"/>
      <c r="U361" s="15"/>
      <c r="V361" s="11"/>
    </row>
    <row r="362" spans="2:22" x14ac:dyDescent="0.25">
      <c r="B362" s="2"/>
      <c r="C362" s="2"/>
      <c r="D362" s="2"/>
      <c r="E362" s="2"/>
      <c r="F362" s="2"/>
      <c r="G362" s="2"/>
      <c r="H362" s="2"/>
      <c r="I362" s="2"/>
      <c r="J362" s="2"/>
      <c r="K362" s="2"/>
      <c r="L362" s="2"/>
      <c r="M362" s="2"/>
      <c r="N362" s="2"/>
      <c r="O362" s="2"/>
      <c r="P362" s="2"/>
      <c r="Q362" s="2"/>
      <c r="T362" s="4"/>
      <c r="U362" s="15"/>
      <c r="V362" s="11"/>
    </row>
    <row r="363" spans="2:22" x14ac:dyDescent="0.25">
      <c r="B363" s="2"/>
      <c r="C363" s="2"/>
      <c r="D363" s="2"/>
      <c r="E363" s="2"/>
      <c r="F363" s="2"/>
      <c r="G363" s="2"/>
      <c r="H363" s="2"/>
      <c r="I363" s="2"/>
      <c r="J363" s="2"/>
      <c r="K363" s="2"/>
      <c r="L363" s="2"/>
      <c r="M363" s="2"/>
      <c r="N363" s="2"/>
      <c r="O363" s="2"/>
      <c r="P363" s="2"/>
      <c r="Q363" s="2"/>
      <c r="T363" s="4"/>
      <c r="U363" s="15"/>
      <c r="V363" s="11"/>
    </row>
    <row r="364" spans="2:22" x14ac:dyDescent="0.25">
      <c r="B364" s="2"/>
      <c r="C364" s="2"/>
      <c r="D364" s="2"/>
      <c r="E364" s="2"/>
      <c r="F364" s="2"/>
      <c r="G364" s="2"/>
      <c r="H364" s="2"/>
      <c r="I364" s="2"/>
      <c r="J364" s="2"/>
      <c r="K364" s="2"/>
      <c r="L364" s="2"/>
      <c r="M364" s="2"/>
      <c r="N364" s="2"/>
      <c r="O364" s="2"/>
      <c r="P364" s="2"/>
      <c r="Q364" s="2"/>
      <c r="T364" s="4"/>
      <c r="U364" s="15"/>
      <c r="V364" s="11"/>
    </row>
    <row r="365" spans="2:22" x14ac:dyDescent="0.25">
      <c r="B365" s="2"/>
      <c r="C365" s="2"/>
      <c r="D365" s="2"/>
      <c r="E365" s="2"/>
      <c r="F365" s="2"/>
      <c r="G365" s="2"/>
      <c r="H365" s="2"/>
      <c r="I365" s="2"/>
      <c r="J365" s="2"/>
      <c r="K365" s="2"/>
      <c r="L365" s="2"/>
      <c r="M365" s="2"/>
      <c r="N365" s="2"/>
      <c r="O365" s="2"/>
      <c r="P365" s="2"/>
      <c r="Q365" s="2"/>
      <c r="T365" s="4"/>
      <c r="U365" s="15"/>
      <c r="V365" s="11"/>
    </row>
    <row r="366" spans="2:22" x14ac:dyDescent="0.25">
      <c r="B366" s="2"/>
      <c r="C366" s="2"/>
      <c r="D366" s="2"/>
      <c r="E366" s="2"/>
      <c r="F366" s="2"/>
      <c r="G366" s="2"/>
      <c r="H366" s="2"/>
      <c r="I366" s="2"/>
      <c r="J366" s="2"/>
      <c r="K366" s="2"/>
      <c r="L366" s="2"/>
      <c r="M366" s="2"/>
      <c r="N366" s="2"/>
      <c r="O366" s="2"/>
      <c r="P366" s="2"/>
      <c r="Q366" s="2"/>
      <c r="T366" s="4"/>
      <c r="U366" s="15"/>
      <c r="V366" s="11"/>
    </row>
    <row r="367" spans="2:22" x14ac:dyDescent="0.25">
      <c r="B367" s="2"/>
      <c r="C367" s="2"/>
      <c r="D367" s="2"/>
      <c r="E367" s="2"/>
      <c r="F367" s="2"/>
      <c r="G367" s="2"/>
      <c r="H367" s="2"/>
      <c r="I367" s="2"/>
      <c r="J367" s="2"/>
      <c r="K367" s="2"/>
      <c r="L367" s="2"/>
      <c r="M367" s="2"/>
      <c r="N367" s="2"/>
      <c r="O367" s="2"/>
      <c r="P367" s="2"/>
      <c r="Q367" s="2"/>
      <c r="T367" s="4"/>
      <c r="U367" s="15"/>
      <c r="V367" s="11"/>
    </row>
    <row r="368" spans="2:22" x14ac:dyDescent="0.25">
      <c r="B368" s="2"/>
      <c r="C368" s="2"/>
      <c r="D368" s="2"/>
      <c r="E368" s="2"/>
      <c r="F368" s="2"/>
      <c r="G368" s="2"/>
      <c r="H368" s="2"/>
      <c r="I368" s="2"/>
      <c r="J368" s="2"/>
      <c r="K368" s="2"/>
      <c r="L368" s="2"/>
      <c r="M368" s="2"/>
      <c r="N368" s="2"/>
      <c r="O368" s="2"/>
      <c r="P368" s="2"/>
      <c r="Q368" s="2"/>
      <c r="T368" s="4"/>
      <c r="U368" s="15"/>
      <c r="V368" s="11"/>
    </row>
    <row r="369" spans="2:22" x14ac:dyDescent="0.25">
      <c r="B369" s="2"/>
      <c r="C369" s="2"/>
      <c r="D369" s="2"/>
      <c r="E369" s="2"/>
      <c r="F369" s="2"/>
      <c r="G369" s="2"/>
      <c r="H369" s="2"/>
      <c r="I369" s="2"/>
      <c r="J369" s="2"/>
      <c r="K369" s="2"/>
      <c r="L369" s="2"/>
      <c r="M369" s="2"/>
      <c r="N369" s="2"/>
      <c r="O369" s="2"/>
      <c r="P369" s="2"/>
      <c r="Q369" s="2"/>
      <c r="T369" s="4"/>
      <c r="U369" s="15"/>
      <c r="V369" s="11"/>
    </row>
    <row r="370" spans="2:22" x14ac:dyDescent="0.25">
      <c r="B370" s="2"/>
      <c r="C370" s="2"/>
      <c r="D370" s="2"/>
      <c r="E370" s="2"/>
      <c r="F370" s="2"/>
      <c r="G370" s="2"/>
      <c r="H370" s="2"/>
      <c r="I370" s="2"/>
      <c r="J370" s="2"/>
      <c r="K370" s="2"/>
      <c r="L370" s="2"/>
      <c r="M370" s="2"/>
      <c r="N370" s="2"/>
      <c r="O370" s="2"/>
      <c r="P370" s="2"/>
      <c r="Q370" s="2"/>
      <c r="T370" s="4"/>
      <c r="U370" s="15"/>
      <c r="V370" s="11"/>
    </row>
    <row r="371" spans="2:22" x14ac:dyDescent="0.25">
      <c r="B371" s="2"/>
      <c r="C371" s="2"/>
      <c r="D371" s="2"/>
      <c r="E371" s="2"/>
      <c r="F371" s="2"/>
      <c r="G371" s="2"/>
      <c r="H371" s="2"/>
      <c r="I371" s="2"/>
      <c r="J371" s="2"/>
      <c r="K371" s="2"/>
      <c r="L371" s="2"/>
      <c r="M371" s="2"/>
      <c r="N371" s="2"/>
      <c r="O371" s="2"/>
      <c r="P371" s="2"/>
      <c r="Q371" s="2"/>
      <c r="T371" s="4"/>
      <c r="U371" s="15"/>
      <c r="V371" s="11"/>
    </row>
    <row r="372" spans="2:22" x14ac:dyDescent="0.25">
      <c r="B372" s="2"/>
      <c r="C372" s="2"/>
      <c r="D372" s="2"/>
      <c r="E372" s="2"/>
      <c r="F372" s="2"/>
      <c r="G372" s="2"/>
      <c r="H372" s="2"/>
      <c r="I372" s="2"/>
      <c r="J372" s="2"/>
      <c r="K372" s="2"/>
      <c r="L372" s="2"/>
      <c r="M372" s="2"/>
      <c r="N372" s="2"/>
      <c r="O372" s="2"/>
      <c r="P372" s="2"/>
      <c r="Q372" s="2"/>
      <c r="T372" s="4"/>
      <c r="U372" s="15"/>
      <c r="V372" s="11"/>
    </row>
    <row r="373" spans="2:22" x14ac:dyDescent="0.25">
      <c r="B373" s="2"/>
      <c r="C373" s="2"/>
      <c r="D373" s="2"/>
      <c r="E373" s="2"/>
      <c r="F373" s="2"/>
      <c r="G373" s="2"/>
      <c r="H373" s="2"/>
      <c r="I373" s="2"/>
      <c r="J373" s="2"/>
      <c r="K373" s="2"/>
      <c r="L373" s="2"/>
      <c r="M373" s="2"/>
      <c r="N373" s="2"/>
      <c r="O373" s="2"/>
      <c r="P373" s="2"/>
      <c r="Q373" s="2"/>
      <c r="T373" s="4"/>
      <c r="U373" s="15"/>
      <c r="V373" s="11"/>
    </row>
    <row r="374" spans="2:22" x14ac:dyDescent="0.25">
      <c r="B374" s="2"/>
      <c r="C374" s="2"/>
      <c r="D374" s="2"/>
      <c r="E374" s="2"/>
      <c r="F374" s="2"/>
      <c r="G374" s="2"/>
      <c r="H374" s="2"/>
      <c r="I374" s="2"/>
      <c r="J374" s="2"/>
      <c r="K374" s="2"/>
      <c r="L374" s="2"/>
      <c r="M374" s="2"/>
      <c r="N374" s="2"/>
      <c r="O374" s="2"/>
      <c r="P374" s="2"/>
      <c r="Q374" s="2"/>
      <c r="T374" s="4"/>
      <c r="U374" s="15"/>
      <c r="V374" s="11"/>
    </row>
    <row r="375" spans="2:22" x14ac:dyDescent="0.25">
      <c r="B375" s="2"/>
      <c r="C375" s="2"/>
      <c r="D375" s="2"/>
      <c r="E375" s="2"/>
      <c r="F375" s="2"/>
      <c r="G375" s="2"/>
      <c r="H375" s="2"/>
      <c r="I375" s="2"/>
      <c r="J375" s="2"/>
      <c r="K375" s="2"/>
      <c r="L375" s="2"/>
      <c r="M375" s="2"/>
      <c r="N375" s="2"/>
      <c r="O375" s="2"/>
      <c r="P375" s="2"/>
      <c r="Q375" s="2"/>
      <c r="T375" s="4"/>
      <c r="U375" s="15"/>
      <c r="V375" s="11"/>
    </row>
    <row r="376" spans="2:22" x14ac:dyDescent="0.25">
      <c r="B376" s="2"/>
      <c r="C376" s="2"/>
      <c r="D376" s="2"/>
      <c r="E376" s="2"/>
      <c r="F376" s="2"/>
      <c r="G376" s="2"/>
      <c r="H376" s="2"/>
      <c r="I376" s="2"/>
      <c r="J376" s="2"/>
      <c r="K376" s="2"/>
      <c r="L376" s="2"/>
      <c r="M376" s="2"/>
      <c r="N376" s="2"/>
      <c r="O376" s="2"/>
      <c r="P376" s="2"/>
      <c r="Q376" s="2"/>
      <c r="T376" s="4"/>
      <c r="U376" s="15"/>
      <c r="V376" s="11"/>
    </row>
    <row r="377" spans="2:22" x14ac:dyDescent="0.25">
      <c r="B377" s="2"/>
      <c r="C377" s="2"/>
      <c r="D377" s="2"/>
      <c r="E377" s="2"/>
      <c r="F377" s="2"/>
      <c r="G377" s="2"/>
      <c r="H377" s="2"/>
      <c r="I377" s="2"/>
      <c r="J377" s="2"/>
      <c r="K377" s="2"/>
      <c r="L377" s="2"/>
      <c r="M377" s="2"/>
      <c r="N377" s="2"/>
      <c r="O377" s="2"/>
      <c r="P377" s="2"/>
      <c r="Q377" s="2"/>
      <c r="T377" s="4"/>
      <c r="U377" s="15"/>
      <c r="V377" s="11"/>
    </row>
    <row r="378" spans="2:22" x14ac:dyDescent="0.25">
      <c r="B378" s="2"/>
      <c r="C378" s="2"/>
      <c r="D378" s="2"/>
      <c r="E378" s="2"/>
      <c r="F378" s="2"/>
      <c r="G378" s="2"/>
      <c r="H378" s="2"/>
      <c r="I378" s="2"/>
      <c r="J378" s="2"/>
      <c r="K378" s="2"/>
      <c r="L378" s="2"/>
      <c r="M378" s="2"/>
      <c r="N378" s="2"/>
      <c r="O378" s="2"/>
      <c r="P378" s="2"/>
      <c r="Q378" s="2"/>
      <c r="T378" s="4"/>
      <c r="U378" s="15"/>
      <c r="V378" s="11"/>
    </row>
    <row r="379" spans="2:22" x14ac:dyDescent="0.25">
      <c r="B379" s="2"/>
      <c r="C379" s="2"/>
      <c r="D379" s="2"/>
      <c r="E379" s="2"/>
      <c r="F379" s="2"/>
      <c r="G379" s="2"/>
      <c r="H379" s="2"/>
      <c r="I379" s="2"/>
      <c r="J379" s="2"/>
      <c r="K379" s="2"/>
      <c r="L379" s="2"/>
      <c r="M379" s="2"/>
      <c r="N379" s="2"/>
      <c r="O379" s="2"/>
      <c r="P379" s="2"/>
      <c r="Q379" s="2"/>
      <c r="T379" s="4"/>
      <c r="U379" s="15"/>
      <c r="V379" s="11"/>
    </row>
    <row r="380" spans="2:22" x14ac:dyDescent="0.25">
      <c r="B380" s="2"/>
      <c r="C380" s="2"/>
      <c r="D380" s="2"/>
      <c r="E380" s="2"/>
      <c r="F380" s="2"/>
      <c r="G380" s="2"/>
      <c r="H380" s="2"/>
      <c r="I380" s="2"/>
      <c r="J380" s="2"/>
      <c r="K380" s="2"/>
      <c r="L380" s="2"/>
      <c r="M380" s="2"/>
      <c r="N380" s="2"/>
      <c r="O380" s="2"/>
      <c r="P380" s="2"/>
      <c r="Q380" s="2"/>
      <c r="T380" s="4"/>
      <c r="U380" s="15"/>
      <c r="V380" s="11"/>
    </row>
    <row r="381" spans="2:22" x14ac:dyDescent="0.25">
      <c r="B381" s="2"/>
      <c r="C381" s="2"/>
      <c r="D381" s="2"/>
      <c r="E381" s="2"/>
      <c r="F381" s="2"/>
      <c r="G381" s="2"/>
      <c r="H381" s="2"/>
      <c r="I381" s="2"/>
      <c r="J381" s="2"/>
      <c r="K381" s="2"/>
      <c r="L381" s="2"/>
      <c r="M381" s="2"/>
      <c r="N381" s="2"/>
      <c r="O381" s="2"/>
      <c r="P381" s="2"/>
      <c r="Q381" s="2"/>
      <c r="T381" s="4"/>
      <c r="U381" s="15"/>
      <c r="V381" s="11"/>
    </row>
    <row r="382" spans="2:22" ht="16.5" thickBot="1" x14ac:dyDescent="0.3">
      <c r="B382" s="2"/>
      <c r="C382" s="2"/>
      <c r="D382" s="2"/>
      <c r="E382" s="2"/>
      <c r="F382" s="2"/>
      <c r="G382" s="2"/>
      <c r="H382" s="2"/>
      <c r="I382" s="2"/>
      <c r="J382" s="2"/>
      <c r="K382" s="2"/>
      <c r="L382" s="2"/>
      <c r="M382" s="2"/>
      <c r="N382" s="2"/>
      <c r="O382" s="2"/>
      <c r="P382" s="2"/>
      <c r="Q382" s="2"/>
      <c r="T382" s="4"/>
      <c r="U382" s="15"/>
      <c r="V382" s="11"/>
    </row>
    <row r="383" spans="2:22" ht="26.25" x14ac:dyDescent="0.4">
      <c r="B383" s="411" t="s">
        <v>270</v>
      </c>
      <c r="C383" s="412"/>
      <c r="D383" s="412"/>
      <c r="E383" s="412"/>
      <c r="F383" s="412"/>
      <c r="G383" s="412"/>
      <c r="H383" s="412"/>
      <c r="I383" s="412"/>
      <c r="J383" s="412"/>
      <c r="K383" s="412"/>
      <c r="L383" s="412"/>
      <c r="M383" s="412"/>
      <c r="N383" s="412"/>
      <c r="O383" s="412"/>
      <c r="P383" s="412"/>
      <c r="Q383" s="413"/>
      <c r="T383" s="4"/>
    </row>
    <row r="384" spans="2:22" x14ac:dyDescent="0.25">
      <c r="B384" s="8"/>
      <c r="C384" s="3"/>
      <c r="D384" s="3"/>
      <c r="E384" s="2"/>
      <c r="F384" s="3"/>
      <c r="G384" s="2"/>
      <c r="H384" s="3"/>
      <c r="I384" s="2"/>
      <c r="J384" s="3"/>
      <c r="K384" s="2"/>
      <c r="L384" s="3"/>
      <c r="M384" s="2"/>
      <c r="N384" s="2"/>
      <c r="O384" s="3"/>
      <c r="P384" s="3"/>
      <c r="Q384" s="9"/>
      <c r="T384" s="4"/>
    </row>
    <row r="385" spans="2:35" x14ac:dyDescent="0.25">
      <c r="B385" s="8"/>
      <c r="C385" s="3"/>
      <c r="D385" s="3"/>
      <c r="E385" s="2"/>
      <c r="F385" s="91"/>
      <c r="G385" s="65"/>
      <c r="H385" s="57"/>
      <c r="I385" s="65"/>
      <c r="J385" s="91"/>
      <c r="K385" s="65"/>
      <c r="L385" s="91"/>
      <c r="M385" s="2"/>
      <c r="N385" s="2"/>
      <c r="O385" s="78" t="s">
        <v>211</v>
      </c>
      <c r="P385" s="78" t="s">
        <v>212</v>
      </c>
      <c r="Q385" s="9"/>
      <c r="T385" s="4"/>
    </row>
    <row r="386" spans="2:35" x14ac:dyDescent="0.25">
      <c r="B386" s="8"/>
      <c r="C386" s="3"/>
      <c r="D386" s="3"/>
      <c r="E386" s="2"/>
      <c r="F386" s="105"/>
      <c r="G386" s="65"/>
      <c r="H386" s="2"/>
      <c r="I386" s="65"/>
      <c r="J386" s="91"/>
      <c r="K386" s="65"/>
      <c r="L386" s="57">
        <f>IF(ISNA(VLOOKUP(Choix_meteo,Zone_meteo,1,0)),"",VLOOKUP(Choix_meteo,Zone_meteo,2,0))</f>
        <v>2532</v>
      </c>
      <c r="M386" s="2"/>
      <c r="N386" s="2"/>
      <c r="O386" s="3"/>
      <c r="P386" s="3"/>
      <c r="Q386" s="9"/>
      <c r="S386" s="4"/>
      <c r="T386" s="4"/>
      <c r="U386" s="4"/>
      <c r="V386" s="4"/>
      <c r="W386" s="4"/>
      <c r="X386" s="4"/>
    </row>
    <row r="387" spans="2:35" x14ac:dyDescent="0.25">
      <c r="B387" s="8"/>
      <c r="C387" s="3"/>
      <c r="D387" s="3"/>
      <c r="E387" s="2"/>
      <c r="F387" s="91"/>
      <c r="G387" s="65"/>
      <c r="H387" s="2"/>
      <c r="I387" s="65"/>
      <c r="J387" s="91"/>
      <c r="K387" s="65"/>
      <c r="L387" s="91"/>
      <c r="M387" s="2"/>
      <c r="N387" s="2"/>
      <c r="O387" s="3"/>
      <c r="P387" s="3"/>
      <c r="Q387" s="9"/>
      <c r="S387" s="4"/>
      <c r="T387" s="4"/>
      <c r="U387" s="4"/>
      <c r="V387" s="4"/>
      <c r="W387" s="4"/>
      <c r="X387" s="4"/>
    </row>
    <row r="388" spans="2:35" x14ac:dyDescent="0.25">
      <c r="B388" s="8"/>
      <c r="C388" s="78" t="s">
        <v>0</v>
      </c>
      <c r="D388" s="78"/>
      <c r="E388" s="78"/>
      <c r="F388" s="78" t="s">
        <v>1</v>
      </c>
      <c r="G388" s="78"/>
      <c r="H388" s="78" t="s">
        <v>2</v>
      </c>
      <c r="I388" s="78"/>
      <c r="J388" s="78" t="s">
        <v>3</v>
      </c>
      <c r="K388" s="78"/>
      <c r="L388" s="78" t="s">
        <v>4</v>
      </c>
      <c r="M388" s="78"/>
      <c r="N388" s="78"/>
      <c r="O388" s="78" t="s">
        <v>5</v>
      </c>
      <c r="P388" s="3"/>
      <c r="Q388" s="9"/>
      <c r="S388" s="4"/>
      <c r="T388" s="4"/>
      <c r="U388" s="4"/>
      <c r="V388" s="4"/>
      <c r="W388" s="4"/>
      <c r="X388" s="4"/>
    </row>
    <row r="389" spans="2:35" x14ac:dyDescent="0.25">
      <c r="B389" s="8"/>
      <c r="C389" s="78"/>
      <c r="D389" s="78"/>
      <c r="E389" s="78"/>
      <c r="F389" s="78" t="s">
        <v>6</v>
      </c>
      <c r="G389" s="78"/>
      <c r="H389" s="78" t="s">
        <v>7</v>
      </c>
      <c r="I389" s="78"/>
      <c r="J389" s="78" t="s">
        <v>8</v>
      </c>
      <c r="K389" s="78"/>
      <c r="L389" s="78" t="s">
        <v>9</v>
      </c>
      <c r="M389" s="78"/>
      <c r="N389" s="78"/>
      <c r="O389" s="78" t="s">
        <v>62</v>
      </c>
      <c r="P389" s="2"/>
      <c r="Q389" s="9"/>
      <c r="R389" s="10"/>
      <c r="S389" s="4"/>
      <c r="T389" s="4"/>
      <c r="U389" s="4"/>
      <c r="V389" s="4"/>
      <c r="W389" s="4"/>
      <c r="X389" s="4"/>
    </row>
    <row r="390" spans="2:35" x14ac:dyDescent="0.25">
      <c r="B390" s="8" t="s">
        <v>10</v>
      </c>
      <c r="C390" s="75">
        <f>Volume</f>
        <v>347.5</v>
      </c>
      <c r="D390" s="3"/>
      <c r="E390" s="3" t="s">
        <v>11</v>
      </c>
      <c r="F390" s="79">
        <f>Valeur_n_var1</f>
        <v>0.34532374100719426</v>
      </c>
      <c r="G390" s="3" t="s">
        <v>12</v>
      </c>
      <c r="H390" s="75">
        <f>Valeur_nwrgeff_1</f>
        <v>0.84</v>
      </c>
      <c r="I390" s="2" t="s">
        <v>13</v>
      </c>
      <c r="J390" s="79">
        <v>0.34</v>
      </c>
      <c r="K390" s="3" t="s">
        <v>11</v>
      </c>
      <c r="L390" s="75">
        <f>IF(djuperso="",dju_selection,djuperso)</f>
        <v>2532</v>
      </c>
      <c r="M390" s="2" t="s">
        <v>45</v>
      </c>
      <c r="N390" s="2" t="s">
        <v>14</v>
      </c>
      <c r="O390" s="75">
        <f>Volume*Valeur_n_var1*(1-Valeur_nwrgeff_1)*Valeur_Cpair*(dju*0.024)</f>
        <v>396.69350400000008</v>
      </c>
      <c r="P390" s="75">
        <f>Volume*Valeur_n_var2*(1-Valeur_nWRGeff_2)*Valeur_Cpair*(dju*0.024)</f>
        <v>396.69350400000008</v>
      </c>
      <c r="Q390" s="100" t="s">
        <v>15</v>
      </c>
      <c r="S390" s="4"/>
      <c r="T390" s="4"/>
      <c r="U390" s="4"/>
      <c r="V390" s="4"/>
      <c r="W390" s="4"/>
      <c r="X390" s="4"/>
    </row>
    <row r="391" spans="2:35" x14ac:dyDescent="0.25">
      <c r="B391" s="8"/>
      <c r="C391" s="78"/>
      <c r="D391" s="78"/>
      <c r="E391" s="78"/>
      <c r="F391" s="78"/>
      <c r="G391" s="78"/>
      <c r="H391" s="78"/>
      <c r="I391" s="78"/>
      <c r="J391" s="78"/>
      <c r="K391" s="78"/>
      <c r="L391" s="78"/>
      <c r="M391" s="78"/>
      <c r="N391" s="2"/>
      <c r="O391" s="2"/>
      <c r="P391" s="2"/>
      <c r="Q391" s="9"/>
      <c r="S391" s="4"/>
      <c r="T391" s="4"/>
      <c r="U391" s="4"/>
      <c r="V391" s="4"/>
      <c r="W391" s="4"/>
      <c r="X391" s="4"/>
    </row>
    <row r="392" spans="2:35" x14ac:dyDescent="0.25">
      <c r="B392" s="117"/>
      <c r="C392" s="116" t="s">
        <v>100</v>
      </c>
      <c r="D392" s="106"/>
      <c r="E392" s="106">
        <f>H22</f>
        <v>347.5</v>
      </c>
      <c r="F392" s="106" t="s">
        <v>51</v>
      </c>
      <c r="G392" s="78"/>
      <c r="H392" s="78"/>
      <c r="I392" s="78"/>
      <c r="J392" s="78"/>
      <c r="K392" s="78"/>
      <c r="L392" s="78"/>
      <c r="M392" s="76" t="s">
        <v>63</v>
      </c>
      <c r="N392" s="2"/>
      <c r="O392" s="75">
        <f>Volume*Valeur_n_var1*(Valeur_nwrgeff_1)*Valeur_Cpair*(dju*0.024)</f>
        <v>2082.6408959999999</v>
      </c>
      <c r="P392" s="75">
        <f>Volume*Valeur_n_var2*(Valeur_nWRGeff_2)*Valeur_Cpair*(dju*0.024)</f>
        <v>2082.6408959999999</v>
      </c>
      <c r="Q392" s="100" t="s">
        <v>15</v>
      </c>
      <c r="S392" s="4"/>
      <c r="T392" s="4"/>
      <c r="U392" s="4"/>
      <c r="V392" s="4"/>
      <c r="W392" s="4"/>
      <c r="X392" s="4"/>
    </row>
    <row r="393" spans="2:35" x14ac:dyDescent="0.25">
      <c r="B393" s="117"/>
      <c r="C393" s="116" t="s">
        <v>49</v>
      </c>
      <c r="D393" s="106"/>
      <c r="E393" s="108">
        <f>W501</f>
        <v>0.34532374100719426</v>
      </c>
      <c r="F393" s="108">
        <f>valeur_n*(1-'Base données'!G88)</f>
        <v>0.29352517985611509</v>
      </c>
      <c r="G393" s="78"/>
      <c r="H393" s="78"/>
      <c r="I393" s="78"/>
      <c r="J393" s="78"/>
      <c r="K393" s="78"/>
      <c r="L393" s="78"/>
      <c r="M393" s="78"/>
      <c r="N393" s="2"/>
      <c r="O393" s="2"/>
      <c r="P393" s="2"/>
      <c r="Q393" s="9"/>
      <c r="S393" s="4"/>
      <c r="T393" s="4"/>
      <c r="U393" s="4"/>
      <c r="V393" s="4"/>
      <c r="W393" s="4"/>
      <c r="X393" s="4"/>
    </row>
    <row r="394" spans="2:35" x14ac:dyDescent="0.25">
      <c r="B394" s="117"/>
      <c r="C394" s="116" t="s">
        <v>278</v>
      </c>
      <c r="D394" s="106"/>
      <c r="E394" s="106">
        <f>Valeur_nWRG_1</f>
        <v>0.84</v>
      </c>
      <c r="F394" s="106">
        <f>Valeur_nWRG_2</f>
        <v>0.84</v>
      </c>
      <c r="G394" s="78"/>
      <c r="H394" s="78"/>
      <c r="I394" s="78"/>
      <c r="J394" s="78"/>
      <c r="K394" s="78"/>
      <c r="L394" s="78"/>
      <c r="M394" s="76" t="s">
        <v>91</v>
      </c>
      <c r="N394" s="2"/>
      <c r="O394" s="75">
        <f>(Calcul_qvmc_1+Calcul_qinf)/Shab</f>
        <v>13.700998100719428</v>
      </c>
      <c r="P394" s="75">
        <f>(Calcul_qvmc_2+Calcul_qinf)/Shab</f>
        <v>13.700998100719428</v>
      </c>
      <c r="Q394" s="100" t="s">
        <v>90</v>
      </c>
      <c r="T394" s="55"/>
      <c r="U394" s="55"/>
      <c r="V394" s="55"/>
      <c r="W394" s="4"/>
      <c r="X394" s="4"/>
    </row>
    <row r="395" spans="2:35" x14ac:dyDescent="0.25">
      <c r="B395" s="117"/>
      <c r="C395" s="116" t="s">
        <v>279</v>
      </c>
      <c r="D395" s="106"/>
      <c r="E395" s="106">
        <f>IF(ISNA(VLOOKUP(Choix_vmc_type,Zone_vmc_type,1,0)),"",VLOOKUP(Choix_vmc_type,Zone_vmc_type,3,0))</f>
        <v>0.84</v>
      </c>
      <c r="F395" s="106">
        <f>IF(ISNA(VLOOKUP(Choix_vmc_type_2,Zone_vmc_type,1,0)),"",VLOOKUP(Choix_vmc_type_2,Zone_vmc_type,4,0))</f>
        <v>0.84</v>
      </c>
      <c r="G395" s="78"/>
      <c r="H395" s="78"/>
      <c r="I395" s="78"/>
      <c r="J395" s="78"/>
      <c r="K395" s="78"/>
      <c r="L395" s="78"/>
      <c r="M395" s="76" t="s">
        <v>273</v>
      </c>
      <c r="N395" s="2"/>
      <c r="O395" s="84">
        <f>(Calcul_qvmc_1+Calcul_qinf-H451)/Shab</f>
        <v>13.700998100719428</v>
      </c>
      <c r="P395" s="84">
        <f>(Calcul_qvmc_2+Calcul_qinf-J451)/Shab</f>
        <v>13.700998100719428</v>
      </c>
      <c r="Q395" s="100"/>
      <c r="T395" s="55"/>
      <c r="U395" s="55"/>
      <c r="V395" s="55"/>
      <c r="W395" s="44"/>
      <c r="X395" s="44"/>
      <c r="Y395" s="44"/>
      <c r="Z395" s="44"/>
    </row>
    <row r="396" spans="2:35" x14ac:dyDescent="0.25">
      <c r="B396" s="117"/>
      <c r="C396" s="116" t="s">
        <v>281</v>
      </c>
      <c r="D396" s="106"/>
      <c r="E396" s="108">
        <f>valeur_n*(1-taux_corrige_vent)</f>
        <v>0.34532374100719426</v>
      </c>
      <c r="F396" s="108">
        <f>valeur_n*(1-taux_corrige_vent2)</f>
        <v>0.34532374100719426</v>
      </c>
      <c r="G396" s="78"/>
      <c r="H396" s="78"/>
      <c r="I396" s="78"/>
      <c r="J396" s="78"/>
      <c r="K396" s="78"/>
      <c r="L396" s="78"/>
      <c r="M396" s="78"/>
      <c r="N396" s="2"/>
      <c r="O396" s="2"/>
      <c r="P396" s="2"/>
      <c r="Q396" s="9"/>
      <c r="T396" s="55"/>
      <c r="U396" s="55"/>
      <c r="V396" s="55"/>
      <c r="W396" s="44"/>
      <c r="X396" s="44"/>
      <c r="Y396" s="44"/>
      <c r="Z396" s="44"/>
    </row>
    <row r="397" spans="2:35" x14ac:dyDescent="0.25">
      <c r="B397" s="117"/>
      <c r="C397" s="116" t="s">
        <v>283</v>
      </c>
      <c r="D397" s="106"/>
      <c r="E397" s="106">
        <f>Valeur_qconduits</f>
        <v>0</v>
      </c>
      <c r="F397" s="106">
        <f>Valeur_qconduits</f>
        <v>0</v>
      </c>
      <c r="G397" s="78"/>
      <c r="H397" s="78" t="s">
        <v>46</v>
      </c>
      <c r="I397" s="78"/>
      <c r="J397" s="78" t="s">
        <v>48</v>
      </c>
      <c r="K397" s="78"/>
      <c r="L397" s="78" t="s">
        <v>17</v>
      </c>
      <c r="M397" s="78"/>
      <c r="N397" s="2"/>
      <c r="O397" s="78" t="s">
        <v>16</v>
      </c>
      <c r="P397" s="2"/>
      <c r="Q397" s="9"/>
      <c r="T397" s="55"/>
      <c r="U397" s="55"/>
      <c r="V397" s="55"/>
      <c r="W397" s="44"/>
      <c r="X397" s="44"/>
      <c r="Y397" s="44"/>
      <c r="Z397" s="44"/>
    </row>
    <row r="398" spans="2:35" x14ac:dyDescent="0.25">
      <c r="B398" s="117"/>
      <c r="C398" s="115"/>
      <c r="D398" s="107"/>
      <c r="E398" s="107"/>
      <c r="F398" s="106"/>
      <c r="G398" s="78"/>
      <c r="H398" s="78" t="s">
        <v>47</v>
      </c>
      <c r="I398" s="78"/>
      <c r="J398" s="78" t="s">
        <v>44</v>
      </c>
      <c r="K398" s="78"/>
      <c r="L398" s="78" t="s">
        <v>18</v>
      </c>
      <c r="M398" s="78"/>
      <c r="N398" s="2"/>
      <c r="O398" s="78" t="s">
        <v>19</v>
      </c>
      <c r="P398" s="2"/>
      <c r="Q398" s="9"/>
      <c r="T398" s="55"/>
      <c r="U398" s="55"/>
      <c r="V398" s="55"/>
      <c r="W398" s="44"/>
      <c r="X398" s="44"/>
      <c r="Y398" s="44"/>
      <c r="Z398" s="44"/>
    </row>
    <row r="399" spans="2:35" x14ac:dyDescent="0.25">
      <c r="B399" s="117"/>
      <c r="C399" s="116" t="s">
        <v>282</v>
      </c>
      <c r="D399" s="107"/>
      <c r="E399" s="108">
        <f>O451+O453+O460</f>
        <v>0</v>
      </c>
      <c r="F399" s="108">
        <f>P451+P453+P460</f>
        <v>0</v>
      </c>
      <c r="G399" s="2"/>
      <c r="H399" s="75">
        <f>J112</f>
        <v>0.28999999999999998</v>
      </c>
      <c r="I399" s="3" t="s">
        <v>21</v>
      </c>
      <c r="J399" s="75">
        <f>F390*C390</f>
        <v>120</v>
      </c>
      <c r="K399" s="3" t="s">
        <v>21</v>
      </c>
      <c r="L399" s="75">
        <f>duree_annuelle</f>
        <v>8760</v>
      </c>
      <c r="M399" s="78"/>
      <c r="N399" s="2" t="s">
        <v>14</v>
      </c>
      <c r="O399" s="75">
        <f>Valeur_Eff1*debit*duree_annuelle/1000</f>
        <v>304.84800000000001</v>
      </c>
      <c r="P399" s="75">
        <f>Valeur_Eff2*debit*duree_annuelle/1000</f>
        <v>304.84800000000001</v>
      </c>
      <c r="Q399" s="100" t="s">
        <v>15</v>
      </c>
      <c r="S399" s="314">
        <f>O451+O453+O460</f>
        <v>0</v>
      </c>
      <c r="T399" s="55" t="s">
        <v>125</v>
      </c>
      <c r="U399" s="55"/>
      <c r="V399" s="55"/>
      <c r="W399" s="44"/>
      <c r="X399" s="44"/>
      <c r="Y399" s="44"/>
      <c r="Z399" s="44"/>
      <c r="AA399" s="55"/>
      <c r="AB399" s="55"/>
      <c r="AC399" s="55"/>
      <c r="AD399" s="55"/>
      <c r="AE399" s="55"/>
      <c r="AF399" s="55"/>
      <c r="AG399" s="55"/>
      <c r="AH399" s="55"/>
      <c r="AI399" s="55"/>
    </row>
    <row r="400" spans="2:35" x14ac:dyDescent="0.25">
      <c r="B400" s="117"/>
      <c r="C400" s="116" t="s">
        <v>95</v>
      </c>
      <c r="D400" s="107"/>
      <c r="E400" s="108">
        <f>O407</f>
        <v>104.1320448</v>
      </c>
      <c r="F400" s="108">
        <f>P407</f>
        <v>104.1320448</v>
      </c>
      <c r="G400" s="2"/>
      <c r="H400" s="2"/>
      <c r="I400" s="2"/>
      <c r="J400" s="2"/>
      <c r="K400" s="2"/>
      <c r="L400" s="2"/>
      <c r="M400" s="78"/>
      <c r="N400" s="2"/>
      <c r="O400" s="2"/>
      <c r="P400" s="2"/>
      <c r="Q400" s="9"/>
      <c r="S400" s="311">
        <f>O407</f>
        <v>104.1320448</v>
      </c>
      <c r="T400" s="55" t="s">
        <v>95</v>
      </c>
      <c r="U400" s="55"/>
      <c r="V400" s="55"/>
      <c r="W400" s="44"/>
      <c r="X400" s="44"/>
      <c r="Y400" s="44"/>
      <c r="Z400" s="44"/>
      <c r="AA400" s="55"/>
      <c r="AB400" s="55"/>
      <c r="AC400" s="55"/>
      <c r="AD400" s="55"/>
      <c r="AE400" s="55"/>
      <c r="AF400" s="55"/>
      <c r="AG400" s="55"/>
      <c r="AH400" s="55"/>
      <c r="AI400" s="55"/>
    </row>
    <row r="401" spans="2:35" x14ac:dyDescent="0.25">
      <c r="B401" s="117"/>
      <c r="C401" s="116" t="s">
        <v>99</v>
      </c>
      <c r="D401" s="107"/>
      <c r="E401" s="108">
        <f>O403+O462</f>
        <v>42.678720000000006</v>
      </c>
      <c r="F401" s="108">
        <f>P403+P462</f>
        <v>42.678720000000006</v>
      </c>
      <c r="G401" s="2"/>
      <c r="H401" s="2"/>
      <c r="I401" s="2"/>
      <c r="J401" s="2"/>
      <c r="K401" s="2"/>
      <c r="L401" s="78" t="s">
        <v>24</v>
      </c>
      <c r="M401" s="78"/>
      <c r="N401" s="2"/>
      <c r="O401" s="78" t="s">
        <v>16</v>
      </c>
      <c r="P401" s="2"/>
      <c r="Q401" s="9"/>
      <c r="S401" s="311">
        <f>O403+O462</f>
        <v>42.678720000000006</v>
      </c>
      <c r="T401" s="55" t="s">
        <v>99</v>
      </c>
      <c r="U401" s="55"/>
      <c r="V401" s="55"/>
      <c r="W401" s="44"/>
      <c r="X401" s="44"/>
      <c r="Y401" s="44"/>
      <c r="Z401" s="44"/>
      <c r="AA401" s="55"/>
      <c r="AB401" s="55"/>
      <c r="AC401" s="55"/>
      <c r="AD401" s="55"/>
      <c r="AE401" s="55"/>
      <c r="AF401" s="55"/>
      <c r="AG401" s="55"/>
      <c r="AH401" s="55"/>
      <c r="AI401" s="55"/>
    </row>
    <row r="402" spans="2:35" x14ac:dyDescent="0.25">
      <c r="B402" s="117"/>
      <c r="C402" s="116" t="s">
        <v>122</v>
      </c>
      <c r="D402" s="107"/>
      <c r="E402" s="108">
        <f>IF(OR(Choix_VMCSF=0,Choix_pcan="OUI"),0,J443*Choix_prixelec)</f>
        <v>12.386001600000002</v>
      </c>
      <c r="F402" s="108">
        <f>IF(OR(Choix_pcan_2="OUI",Choix_VMCSF2=0),0,J444*Choix_prixelec)</f>
        <v>12.386001600000002</v>
      </c>
      <c r="G402" s="2"/>
      <c r="H402" s="2"/>
      <c r="I402" s="2"/>
      <c r="J402" s="2"/>
      <c r="K402" s="2"/>
      <c r="L402" s="78" t="s">
        <v>26</v>
      </c>
      <c r="M402" s="78"/>
      <c r="N402" s="2"/>
      <c r="O402" s="78" t="s">
        <v>19</v>
      </c>
      <c r="P402" s="2"/>
      <c r="Q402" s="9"/>
      <c r="S402" s="314">
        <f>IF(Choix_pcan="OUI",0,J443*Choix_prixelec)</f>
        <v>12.386001600000002</v>
      </c>
      <c r="T402" s="55" t="s">
        <v>122</v>
      </c>
      <c r="U402" s="55"/>
      <c r="V402" s="55"/>
      <c r="W402" s="44"/>
      <c r="X402" s="44"/>
      <c r="Y402" s="44"/>
      <c r="Z402" s="44"/>
      <c r="AA402" s="55"/>
      <c r="AB402" s="55"/>
      <c r="AC402" s="55"/>
      <c r="AD402" s="55"/>
      <c r="AE402" s="55"/>
      <c r="AF402" s="55"/>
      <c r="AG402" s="55"/>
      <c r="AH402" s="55"/>
      <c r="AI402" s="55"/>
    </row>
    <row r="403" spans="2:35" x14ac:dyDescent="0.25">
      <c r="B403" s="117"/>
      <c r="C403" s="115"/>
      <c r="D403" s="107"/>
      <c r="E403" s="108"/>
      <c r="F403" s="108"/>
      <c r="G403" s="2"/>
      <c r="H403" s="2"/>
      <c r="I403" s="2"/>
      <c r="J403" s="2"/>
      <c r="K403" s="2"/>
      <c r="L403" s="79">
        <f>Choix_prixelec</f>
        <v>0.14000000000000001</v>
      </c>
      <c r="M403" s="78" t="s">
        <v>28</v>
      </c>
      <c r="N403" s="2" t="s">
        <v>14</v>
      </c>
      <c r="O403" s="84">
        <f>Valeur_conso_elec1*Choix_prixelec</f>
        <v>42.678720000000006</v>
      </c>
      <c r="P403" s="84">
        <f>Valeur_conso_elec2*Choix_prixelec</f>
        <v>42.678720000000006</v>
      </c>
      <c r="Q403" s="100" t="s">
        <v>29</v>
      </c>
      <c r="T403" s="55"/>
      <c r="U403" s="55"/>
      <c r="V403" s="55"/>
      <c r="W403" s="44"/>
      <c r="X403" s="44"/>
      <c r="Y403" s="44"/>
      <c r="Z403" s="44"/>
      <c r="AA403" s="55"/>
      <c r="AB403" s="55"/>
      <c r="AC403" s="55"/>
      <c r="AD403" s="55"/>
      <c r="AE403" s="55"/>
      <c r="AF403" s="55"/>
      <c r="AG403" s="55"/>
      <c r="AH403" s="55"/>
      <c r="AI403" s="55"/>
    </row>
    <row r="404" spans="2:35" x14ac:dyDescent="0.25">
      <c r="B404" s="117"/>
      <c r="C404" s="116" t="s">
        <v>286</v>
      </c>
      <c r="D404" s="123">
        <v>0.15</v>
      </c>
      <c r="E404" s="108">
        <f>D404*J399*L399*L403/1000</f>
        <v>22.075200000000002</v>
      </c>
      <c r="F404" s="108"/>
      <c r="G404" s="2"/>
      <c r="H404" s="2"/>
      <c r="I404" s="2"/>
      <c r="J404" s="2"/>
      <c r="K404" s="2"/>
      <c r="L404" s="2"/>
      <c r="M404" s="78"/>
      <c r="N404" s="2"/>
      <c r="O404" s="2"/>
      <c r="P404" s="2"/>
      <c r="Q404" s="9"/>
      <c r="S404" s="314">
        <f>S399</f>
        <v>0</v>
      </c>
      <c r="T404" s="314">
        <f>P451+P453+P460</f>
        <v>0</v>
      </c>
      <c r="U404" s="55" t="str">
        <f>T399</f>
        <v>Economies annuelles Pcan</v>
      </c>
      <c r="V404" s="55"/>
      <c r="W404" s="44"/>
      <c r="X404" s="44"/>
      <c r="Y404" s="44"/>
      <c r="Z404" s="44"/>
      <c r="AA404" s="55"/>
      <c r="AB404" s="55"/>
      <c r="AC404" s="55"/>
      <c r="AD404" s="55"/>
      <c r="AE404" s="55"/>
      <c r="AF404" s="55"/>
      <c r="AG404" s="55"/>
      <c r="AH404" s="55"/>
      <c r="AI404" s="55"/>
    </row>
    <row r="405" spans="2:35" x14ac:dyDescent="0.25">
      <c r="B405" s="118"/>
      <c r="C405" s="116" t="s">
        <v>287</v>
      </c>
      <c r="D405" s="107"/>
      <c r="E405" s="108">
        <f>O403-E404</f>
        <v>20.603520000000003</v>
      </c>
      <c r="F405" s="108">
        <f>P403-E404</f>
        <v>20.603520000000003</v>
      </c>
      <c r="G405" s="2"/>
      <c r="H405" s="2"/>
      <c r="I405" s="2"/>
      <c r="J405" s="2"/>
      <c r="K405" s="2"/>
      <c r="L405" s="78" t="s">
        <v>24</v>
      </c>
      <c r="M405" s="78"/>
      <c r="N405" s="2"/>
      <c r="O405" s="78" t="s">
        <v>32</v>
      </c>
      <c r="P405" s="2"/>
      <c r="Q405" s="9"/>
      <c r="S405" s="314">
        <f>S400</f>
        <v>104.1320448</v>
      </c>
      <c r="T405" s="311">
        <f>P407</f>
        <v>104.1320448</v>
      </c>
      <c r="U405" s="55" t="str">
        <f>T400</f>
        <v>Economies annuelles VMC DF</v>
      </c>
      <c r="V405" s="55"/>
      <c r="W405" s="44"/>
      <c r="X405" s="44"/>
      <c r="Y405" s="44"/>
      <c r="Z405" s="44"/>
      <c r="AA405" s="55"/>
      <c r="AB405" s="55"/>
      <c r="AC405" s="55"/>
      <c r="AD405" s="55"/>
      <c r="AE405" s="55"/>
      <c r="AF405" s="55"/>
      <c r="AG405" s="55"/>
      <c r="AH405" s="55"/>
      <c r="AI405" s="55"/>
    </row>
    <row r="406" spans="2:35" x14ac:dyDescent="0.25">
      <c r="B406" s="117"/>
      <c r="C406" s="115"/>
      <c r="D406" s="107"/>
      <c r="E406" s="108">
        <f>E416+2*Shab</f>
        <v>1345</v>
      </c>
      <c r="F406" s="108"/>
      <c r="G406" s="2"/>
      <c r="H406" s="2"/>
      <c r="I406" s="2"/>
      <c r="J406" s="2"/>
      <c r="K406" s="2"/>
      <c r="L406" s="78" t="s">
        <v>34</v>
      </c>
      <c r="M406" s="78"/>
      <c r="N406" s="2"/>
      <c r="O406" s="78" t="s">
        <v>7</v>
      </c>
      <c r="P406" s="2"/>
      <c r="Q406" s="9"/>
      <c r="S406" s="314">
        <f>E401</f>
        <v>42.678720000000006</v>
      </c>
      <c r="T406" s="311">
        <f>F401</f>
        <v>42.678720000000006</v>
      </c>
      <c r="U406" s="55" t="str">
        <f>T401</f>
        <v xml:space="preserve">Conso électrique VMC </v>
      </c>
      <c r="V406" s="55"/>
      <c r="W406" s="44"/>
      <c r="X406" s="44"/>
      <c r="Y406" s="44"/>
      <c r="Z406" s="44"/>
      <c r="AA406" s="55"/>
      <c r="AB406" s="55"/>
      <c r="AC406" s="55"/>
      <c r="AD406" s="55"/>
      <c r="AE406" s="55"/>
      <c r="AF406" s="55"/>
      <c r="AG406" s="55"/>
      <c r="AH406" s="55"/>
      <c r="AI406" s="55"/>
    </row>
    <row r="407" spans="2:35" x14ac:dyDescent="0.25">
      <c r="B407" s="117"/>
      <c r="C407" s="116"/>
      <c r="D407" s="107"/>
      <c r="E407" s="108"/>
      <c r="F407" s="108"/>
      <c r="G407" s="2"/>
      <c r="H407" s="2"/>
      <c r="I407" s="2"/>
      <c r="J407" s="2"/>
      <c r="K407" s="2"/>
      <c r="L407" s="79">
        <f>Choix_prix_ch</f>
        <v>0.05</v>
      </c>
      <c r="M407" s="78" t="s">
        <v>28</v>
      </c>
      <c r="N407" s="2" t="s">
        <v>14</v>
      </c>
      <c r="O407" s="84">
        <f>Choix_prix_ch*O392</f>
        <v>104.1320448</v>
      </c>
      <c r="P407" s="84">
        <f>Choix_prix_ch*P392</f>
        <v>104.1320448</v>
      </c>
      <c r="Q407" s="100" t="s">
        <v>29</v>
      </c>
      <c r="S407" s="314">
        <f>S402</f>
        <v>12.386001600000002</v>
      </c>
      <c r="T407" s="314">
        <f>F402</f>
        <v>12.386001600000002</v>
      </c>
      <c r="U407" s="55" t="str">
        <f>T402</f>
        <v>Conso électrique dégivrage</v>
      </c>
      <c r="V407" s="55"/>
      <c r="W407" s="44"/>
      <c r="X407" s="44"/>
      <c r="Y407" s="44"/>
      <c r="Z407" s="44"/>
      <c r="AA407" s="55"/>
      <c r="AB407" s="55"/>
      <c r="AC407" s="55"/>
      <c r="AD407" s="55"/>
      <c r="AE407" s="55"/>
      <c r="AF407" s="55"/>
      <c r="AG407" s="55"/>
      <c r="AH407" s="55"/>
      <c r="AI407" s="55"/>
    </row>
    <row r="408" spans="2:35" x14ac:dyDescent="0.25">
      <c r="B408" s="117"/>
      <c r="C408" s="116"/>
      <c r="D408" s="107"/>
      <c r="E408" s="108"/>
      <c r="F408" s="108"/>
      <c r="G408" s="2"/>
      <c r="H408" s="2"/>
      <c r="I408" s="2"/>
      <c r="J408" s="2"/>
      <c r="K408" s="2"/>
      <c r="L408" s="2"/>
      <c r="M408" s="78"/>
      <c r="N408" s="2"/>
      <c r="O408" s="2"/>
      <c r="P408" s="2"/>
      <c r="Q408" s="9"/>
      <c r="T408" s="55"/>
      <c r="U408" s="55">
        <f>T403</f>
        <v>0</v>
      </c>
      <c r="V408" s="55"/>
      <c r="W408" s="44"/>
      <c r="X408" s="44"/>
      <c r="Y408" s="44"/>
      <c r="Z408" s="44"/>
      <c r="AA408" s="55"/>
      <c r="AB408" s="55"/>
      <c r="AC408" s="55"/>
      <c r="AD408" s="55"/>
      <c r="AE408" s="55"/>
      <c r="AF408" s="55"/>
      <c r="AG408" s="55"/>
      <c r="AH408" s="55"/>
      <c r="AI408" s="55"/>
    </row>
    <row r="409" spans="2:35" x14ac:dyDescent="0.25">
      <c r="B409" s="117"/>
      <c r="C409" s="116" t="str">
        <f>Choix_conduits</f>
        <v>hypothèse : conduits PEHD alimentaires</v>
      </c>
      <c r="D409" s="107">
        <f>IF(ISNA(VLOOKUP(Choix_conduits,Choix_type_conduits,1,0)),"",VLOOKUP(Choix_conduits,Choix_type_conduits,2,0))</f>
        <v>20</v>
      </c>
      <c r="E409" s="108">
        <f>IF(Choix_VMCSF=0,D409*Shab/2,D409*Shab)</f>
        <v>2780</v>
      </c>
      <c r="F409" s="108"/>
      <c r="G409" s="2"/>
      <c r="H409" s="2"/>
      <c r="I409" s="2"/>
      <c r="J409" s="2"/>
      <c r="K409" s="2"/>
      <c r="L409" s="2"/>
      <c r="M409" s="78"/>
      <c r="N409" s="2"/>
      <c r="O409" s="2"/>
      <c r="P409" s="2"/>
      <c r="Q409" s="9"/>
      <c r="T409" s="55"/>
      <c r="U409" s="55"/>
      <c r="V409" s="55"/>
      <c r="W409" s="44"/>
      <c r="X409" s="44"/>
      <c r="Y409" s="44"/>
      <c r="Z409" s="44"/>
      <c r="AA409" s="55"/>
      <c r="AB409" s="55"/>
      <c r="AC409" s="55"/>
      <c r="AD409" s="55"/>
      <c r="AE409" s="55"/>
      <c r="AF409" s="55"/>
      <c r="AG409" s="55"/>
      <c r="AH409" s="55"/>
      <c r="AI409" s="55"/>
    </row>
    <row r="410" spans="2:35" x14ac:dyDescent="0.25">
      <c r="B410" s="117"/>
      <c r="C410" s="116" t="str">
        <f>Choix_conduits2</f>
        <v>hypothèse : conduits PEHD alimentaires</v>
      </c>
      <c r="D410" s="107">
        <f>IF(ISNA(VLOOKUP(Choix_conduits2,Choix_type_conduits,1,0)),"",VLOOKUP(Choix_conduits2,Choix_type_conduits,2,0))</f>
        <v>20</v>
      </c>
      <c r="E410" s="108">
        <f>IF(Choix_VMCSF=0,Valeur_prixm²_conduit4*Shab/2,Valeur_prixm²_conduit4*Shab)</f>
        <v>0</v>
      </c>
      <c r="F410" s="108">
        <f>IF(Choix_VMCSF2=0,D410*Shab/2,D410*Shab)</f>
        <v>2780</v>
      </c>
      <c r="G410" s="2"/>
      <c r="H410" s="2"/>
      <c r="I410" s="2"/>
      <c r="J410" s="2"/>
      <c r="K410" s="2"/>
      <c r="L410" s="2"/>
      <c r="M410" s="78"/>
      <c r="N410" s="2"/>
      <c r="O410" s="2"/>
      <c r="P410" s="2"/>
      <c r="Q410" s="9"/>
      <c r="T410" s="55"/>
      <c r="U410" s="55"/>
      <c r="V410" s="55"/>
      <c r="W410" s="44"/>
      <c r="X410" s="44"/>
      <c r="Y410" s="44"/>
      <c r="Z410" s="44"/>
      <c r="AA410" s="55"/>
      <c r="AB410" s="55"/>
      <c r="AC410" s="55"/>
      <c r="AD410" s="55"/>
      <c r="AE410" s="55"/>
      <c r="AF410" s="55"/>
      <c r="AG410" s="55"/>
      <c r="AH410" s="55"/>
      <c r="AI410" s="55"/>
    </row>
    <row r="411" spans="2:35" x14ac:dyDescent="0.25">
      <c r="B411" s="117"/>
      <c r="C411" s="115"/>
      <c r="D411" s="107"/>
      <c r="E411" s="107"/>
      <c r="F411" s="106"/>
      <c r="G411" s="2"/>
      <c r="H411" s="2"/>
      <c r="I411" s="2"/>
      <c r="J411" s="78" t="s">
        <v>32</v>
      </c>
      <c r="K411" s="2"/>
      <c r="L411" s="78" t="s">
        <v>16</v>
      </c>
      <c r="M411" s="78"/>
      <c r="N411" s="2"/>
      <c r="O411" s="78" t="s">
        <v>32</v>
      </c>
      <c r="P411" s="2"/>
      <c r="Q411" s="9"/>
      <c r="T411" s="55"/>
      <c r="U411" s="44"/>
      <c r="V411" s="44"/>
      <c r="W411" s="44"/>
      <c r="X411" s="44"/>
      <c r="Y411" s="44"/>
      <c r="Z411" s="44"/>
      <c r="AA411" s="55"/>
      <c r="AB411" s="55"/>
      <c r="AC411" s="55"/>
      <c r="AD411" s="55"/>
      <c r="AE411" s="55"/>
      <c r="AF411" s="55"/>
      <c r="AG411" s="55"/>
      <c r="AH411" s="55"/>
      <c r="AI411" s="55"/>
    </row>
    <row r="412" spans="2:35" x14ac:dyDescent="0.25">
      <c r="B412" s="117"/>
      <c r="C412" s="116" t="s">
        <v>288</v>
      </c>
      <c r="D412" s="107"/>
      <c r="E412" s="108">
        <f>J122</f>
        <v>3210.6619999999998</v>
      </c>
      <c r="F412" s="108">
        <f>J245</f>
        <v>3210.6619999999998</v>
      </c>
      <c r="G412" s="2"/>
      <c r="H412" s="2"/>
      <c r="I412" s="2"/>
      <c r="J412" s="78" t="s">
        <v>7</v>
      </c>
      <c r="K412" s="2"/>
      <c r="L412" s="78" t="s">
        <v>19</v>
      </c>
      <c r="M412" s="78"/>
      <c r="N412" s="2"/>
      <c r="O412" s="78" t="s">
        <v>39</v>
      </c>
      <c r="P412" s="2"/>
      <c r="Q412" s="9"/>
      <c r="T412" s="55"/>
      <c r="U412" s="44"/>
      <c r="V412" s="44"/>
      <c r="W412" s="44"/>
      <c r="X412" s="44"/>
      <c r="Y412" s="44"/>
      <c r="Z412" s="44"/>
      <c r="AA412" s="55"/>
      <c r="AB412" s="55"/>
      <c r="AC412" s="55"/>
      <c r="AD412" s="55"/>
      <c r="AE412" s="55"/>
      <c r="AF412" s="55"/>
      <c r="AG412" s="55"/>
      <c r="AH412" s="55"/>
      <c r="AI412" s="55"/>
    </row>
    <row r="413" spans="2:35" x14ac:dyDescent="0.25">
      <c r="B413" s="117"/>
      <c r="C413" s="116" t="s">
        <v>289</v>
      </c>
      <c r="D413" s="107"/>
      <c r="E413" s="108">
        <f>E409</f>
        <v>2780</v>
      </c>
      <c r="F413" s="108">
        <f>F410</f>
        <v>2780</v>
      </c>
      <c r="G413" s="2"/>
      <c r="H413" s="2"/>
      <c r="I413" s="2"/>
      <c r="J413" s="75">
        <f>O407</f>
        <v>104.1320448</v>
      </c>
      <c r="K413" s="3" t="s">
        <v>40</v>
      </c>
      <c r="L413" s="75">
        <f>O403-E404</f>
        <v>20.603520000000003</v>
      </c>
      <c r="M413" s="2"/>
      <c r="N413" s="2" t="s">
        <v>14</v>
      </c>
      <c r="O413" s="84">
        <f>Valeur_gain_vmc1-Valeur_consoVMCSF1+Valeur_gain_pcan1</f>
        <v>83.5285248</v>
      </c>
      <c r="P413" s="84">
        <f>Valeur_gain_vmc2-Valeur_conso_VMCSF2+Valeur_gain_pcan2</f>
        <v>83.5285248</v>
      </c>
      <c r="Q413" s="100" t="s">
        <v>29</v>
      </c>
      <c r="T413" s="55"/>
      <c r="U413" s="44"/>
      <c r="V413" s="44"/>
      <c r="W413" s="44"/>
      <c r="X413" s="44"/>
      <c r="Y413" s="44"/>
      <c r="Z413" s="44"/>
      <c r="AA413" s="55"/>
      <c r="AB413" s="55"/>
      <c r="AC413" s="55"/>
      <c r="AD413" s="55"/>
      <c r="AE413" s="55"/>
      <c r="AF413" s="55"/>
      <c r="AG413" s="55"/>
      <c r="AH413" s="55"/>
      <c r="AI413" s="55"/>
    </row>
    <row r="414" spans="2:35" x14ac:dyDescent="0.25">
      <c r="B414" s="117"/>
      <c r="C414" s="116" t="s">
        <v>290</v>
      </c>
      <c r="D414" s="107"/>
      <c r="E414" s="108">
        <f>IF(Choix_pcan="NON",0,L467)</f>
        <v>0</v>
      </c>
      <c r="F414" s="108">
        <f>IF(Choix_pcan_2="NON",0,L467)</f>
        <v>0</v>
      </c>
      <c r="G414" s="2"/>
      <c r="H414" s="120"/>
      <c r="I414" s="120"/>
      <c r="J414" s="120"/>
      <c r="K414" s="120"/>
      <c r="L414" s="121"/>
      <c r="M414" s="120"/>
      <c r="N414" s="2"/>
      <c r="O414" s="3"/>
      <c r="P414" s="2"/>
      <c r="Q414" s="9"/>
      <c r="T414" s="55"/>
      <c r="U414" s="44"/>
      <c r="V414" s="44"/>
      <c r="W414" s="44"/>
      <c r="X414" s="44"/>
      <c r="Y414" s="44"/>
      <c r="Z414" s="44"/>
      <c r="AA414" s="55"/>
      <c r="AB414" s="55"/>
      <c r="AC414" s="55"/>
      <c r="AD414" s="55"/>
      <c r="AE414" s="55"/>
      <c r="AF414" s="55"/>
      <c r="AG414" s="55"/>
      <c r="AH414" s="55"/>
      <c r="AI414" s="55"/>
    </row>
    <row r="415" spans="2:35" x14ac:dyDescent="0.25">
      <c r="B415" s="117"/>
      <c r="C415" s="116" t="s">
        <v>590</v>
      </c>
      <c r="D415" s="107"/>
      <c r="E415" s="108">
        <f>E412+E413+E414-E416</f>
        <v>4923.6620000000003</v>
      </c>
      <c r="F415" s="108">
        <f>F412+F413+F414-E416</f>
        <v>4923.6620000000003</v>
      </c>
      <c r="G415" s="2"/>
      <c r="H415" s="4"/>
      <c r="J415" s="113"/>
      <c r="K415" s="120"/>
      <c r="L415" s="120"/>
      <c r="M415" s="120"/>
      <c r="N415" s="2"/>
      <c r="O415" s="78" t="s">
        <v>41</v>
      </c>
      <c r="P415" s="2"/>
      <c r="Q415" s="9"/>
      <c r="T415" s="55"/>
      <c r="U415" s="44"/>
      <c r="V415" s="44"/>
      <c r="W415" s="44"/>
      <c r="X415" s="44"/>
      <c r="Y415" s="44"/>
      <c r="Z415" s="44"/>
      <c r="AA415" s="55"/>
      <c r="AB415" s="55"/>
      <c r="AC415" s="55"/>
      <c r="AD415" s="55"/>
      <c r="AE415" s="55"/>
      <c r="AF415" s="55"/>
      <c r="AG415" s="55"/>
      <c r="AH415" s="55"/>
      <c r="AI415" s="55"/>
    </row>
    <row r="416" spans="2:35" x14ac:dyDescent="0.25">
      <c r="B416" s="117"/>
      <c r="C416" s="116" t="s">
        <v>291</v>
      </c>
      <c r="D416" s="107"/>
      <c r="E416" s="108">
        <f>'Base données'!M2+Valeur_prixm²_conduit1*Shab/2</f>
        <v>1067</v>
      </c>
      <c r="F416" s="106"/>
      <c r="G416" s="2"/>
      <c r="H416" s="4"/>
      <c r="I416" s="4"/>
      <c r="J416" s="113"/>
      <c r="K416" s="120"/>
      <c r="L416" s="120"/>
      <c r="M416" s="120"/>
      <c r="N416" s="2" t="s">
        <v>14</v>
      </c>
      <c r="O416" s="84">
        <f>IF(Valeur_gain_total1&gt;0,(Valeur_Inv_VMCDF-Valeur_Inv_eco)/Valeur_gain_total1,"")</f>
        <v>58.945875217947105</v>
      </c>
      <c r="P416" s="84">
        <f>IF(Valeur_gain_total2&gt;0,(Valeur_Inv_Vmcdf2-Valeur_Inv_eco)/Valeur_gain_total2,"")</f>
        <v>58.945875217947105</v>
      </c>
      <c r="Q416" s="100" t="s">
        <v>42</v>
      </c>
      <c r="T416" s="55"/>
      <c r="U416" s="44"/>
      <c r="V416" s="44"/>
      <c r="W416" s="44"/>
      <c r="X416" s="44"/>
      <c r="Y416" s="44"/>
      <c r="Z416" s="44"/>
      <c r="AA416" s="55"/>
      <c r="AB416" s="55"/>
      <c r="AC416" s="55"/>
      <c r="AD416" s="55"/>
      <c r="AE416" s="55"/>
      <c r="AF416" s="55"/>
      <c r="AG416" s="55"/>
      <c r="AH416" s="55"/>
      <c r="AI416" s="55"/>
    </row>
    <row r="417" spans="2:44" x14ac:dyDescent="0.25">
      <c r="B417" s="117"/>
      <c r="C417" s="116" t="s">
        <v>444</v>
      </c>
      <c r="D417" s="107"/>
      <c r="E417" s="108" t="str">
        <f>Choix_pcan</f>
        <v>non</v>
      </c>
      <c r="F417" s="106" t="str">
        <f>Choix_pcan_2</f>
        <v>non</v>
      </c>
      <c r="G417" s="2"/>
      <c r="K417" s="120"/>
      <c r="L417" s="120"/>
      <c r="M417" s="120"/>
      <c r="N417" s="2"/>
      <c r="O417" s="78" t="s">
        <v>98</v>
      </c>
      <c r="P417" s="78" t="s">
        <v>98</v>
      </c>
      <c r="Q417" s="9"/>
      <c r="R417" s="316"/>
      <c r="T417" s="55"/>
      <c r="U417" s="44"/>
      <c r="V417" s="44"/>
      <c r="W417" s="44"/>
      <c r="X417" s="44"/>
      <c r="Y417" s="44"/>
      <c r="Z417" s="44"/>
      <c r="AA417" s="55"/>
      <c r="AB417" s="55"/>
      <c r="AC417" s="55"/>
      <c r="AD417" s="55"/>
      <c r="AE417" s="55"/>
      <c r="AF417" s="55"/>
      <c r="AG417" s="55"/>
      <c r="AH417" s="55"/>
      <c r="AI417" s="55"/>
    </row>
    <row r="418" spans="2:44" x14ac:dyDescent="0.25">
      <c r="B418" s="117"/>
      <c r="C418" s="116" t="s">
        <v>330</v>
      </c>
      <c r="D418" s="107"/>
      <c r="E418" s="108">
        <f>IF(ISNA(VLOOKUP(Choix_vmc_type,Zone_vmc_type,1,0)),"",VLOOKUP(Choix_vmc_type,Zone_vmc_type,3,0))</f>
        <v>0.84</v>
      </c>
      <c r="F418" s="106">
        <f>IF(ISNA(VLOOKUP(Choix_vmc_type2,Zone_vmc_type,1,0)),"",VLOOKUP(Choix_vmc_type2,Zone_vmc_type,4,0))</f>
        <v>0.84</v>
      </c>
      <c r="G418" s="2"/>
      <c r="J418" s="113"/>
      <c r="K418" s="120"/>
      <c r="L418" s="120"/>
      <c r="M418" s="120"/>
      <c r="N418" s="2" t="s">
        <v>14</v>
      </c>
      <c r="O418" s="75">
        <f>O392/O399</f>
        <v>6.8317354747283883</v>
      </c>
      <c r="P418" s="75">
        <f>P392/P399</f>
        <v>6.8317354747283883</v>
      </c>
      <c r="Q418" s="9"/>
      <c r="R418" s="316"/>
      <c r="T418" s="55"/>
      <c r="U418" s="44"/>
      <c r="V418" s="44"/>
      <c r="W418" s="44"/>
      <c r="X418" s="44"/>
      <c r="Y418" s="44"/>
      <c r="Z418" s="44"/>
      <c r="AA418" s="55"/>
      <c r="AB418" s="55"/>
      <c r="AC418" s="55"/>
      <c r="AD418" s="55"/>
      <c r="AE418" s="55"/>
      <c r="AF418" s="55"/>
      <c r="AG418" s="55"/>
      <c r="AH418" s="55"/>
      <c r="AI418" s="55"/>
    </row>
    <row r="419" spans="2:44" ht="16.5" thickBot="1" x14ac:dyDescent="0.3">
      <c r="B419" s="12"/>
      <c r="C419" s="13"/>
      <c r="D419" s="13"/>
      <c r="E419" s="13"/>
      <c r="F419" s="13"/>
      <c r="G419" s="13"/>
      <c r="H419" s="13"/>
      <c r="I419" s="13"/>
      <c r="J419" s="13"/>
      <c r="K419" s="13"/>
      <c r="L419" s="13"/>
      <c r="M419" s="13"/>
      <c r="N419" s="13"/>
      <c r="O419" s="13"/>
      <c r="P419" s="13"/>
      <c r="Q419" s="14"/>
      <c r="T419" s="55"/>
      <c r="U419" s="44"/>
      <c r="V419" s="44"/>
      <c r="W419" s="44"/>
      <c r="X419" s="44"/>
      <c r="Y419" s="44"/>
      <c r="Z419" s="44"/>
      <c r="AA419" s="4"/>
      <c r="AB419" s="4"/>
      <c r="AC419" s="4"/>
      <c r="AD419" s="4"/>
      <c r="AE419" s="4"/>
      <c r="AF419" s="4"/>
      <c r="AG419" s="4"/>
      <c r="AH419" s="4"/>
      <c r="AI419" s="4"/>
      <c r="AJ419" s="4"/>
      <c r="AK419" s="4"/>
      <c r="AL419" s="4"/>
      <c r="AM419" s="4"/>
      <c r="AN419" s="4"/>
      <c r="AO419" s="4"/>
      <c r="AP419" s="4"/>
      <c r="AQ419" s="4"/>
      <c r="AR419" s="4"/>
    </row>
    <row r="420" spans="2:44" ht="16.5" thickBot="1" x14ac:dyDescent="0.3">
      <c r="T420" s="55"/>
      <c r="U420" s="44"/>
      <c r="V420" s="44"/>
      <c r="W420" s="44"/>
      <c r="X420" s="44"/>
      <c r="Y420" s="44"/>
      <c r="Z420" s="44"/>
      <c r="AA420" s="4"/>
      <c r="AB420" s="4"/>
      <c r="AC420" s="4"/>
      <c r="AD420" s="4"/>
      <c r="AE420" s="4"/>
      <c r="AF420" s="4"/>
      <c r="AG420" s="4"/>
      <c r="AH420" s="4"/>
      <c r="AI420" s="4"/>
      <c r="AJ420" s="4"/>
      <c r="AK420" s="4"/>
      <c r="AL420" s="4"/>
      <c r="AM420" s="4"/>
      <c r="AN420" s="4"/>
      <c r="AO420" s="4"/>
      <c r="AP420" s="4"/>
      <c r="AQ420" s="4"/>
      <c r="AR420" s="4"/>
    </row>
    <row r="421" spans="2:44" ht="26.25" x14ac:dyDescent="0.4">
      <c r="B421" s="411" t="s">
        <v>271</v>
      </c>
      <c r="C421" s="412"/>
      <c r="D421" s="412"/>
      <c r="E421" s="412"/>
      <c r="F421" s="412"/>
      <c r="G421" s="412"/>
      <c r="H421" s="412"/>
      <c r="I421" s="412"/>
      <c r="J421" s="412"/>
      <c r="K421" s="412"/>
      <c r="L421" s="412"/>
      <c r="M421" s="412"/>
      <c r="N421" s="412"/>
      <c r="O421" s="412"/>
      <c r="P421" s="412"/>
      <c r="Q421" s="413"/>
      <c r="T421" s="55"/>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row>
    <row r="422" spans="2:44" x14ac:dyDescent="0.25">
      <c r="B422" s="8"/>
      <c r="C422" s="2"/>
      <c r="D422" s="2"/>
      <c r="E422" s="2"/>
      <c r="F422" s="2"/>
      <c r="G422" s="2"/>
      <c r="H422" s="2"/>
      <c r="I422" s="2"/>
      <c r="J422" s="2"/>
      <c r="K422" s="2"/>
      <c r="L422" s="2"/>
      <c r="M422" s="2"/>
      <c r="N422" s="2"/>
      <c r="O422" s="2"/>
      <c r="P422" s="2"/>
      <c r="Q422" s="9"/>
      <c r="S422" s="314"/>
      <c r="T422" s="55"/>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row>
    <row r="423" spans="2:44" x14ac:dyDescent="0.25">
      <c r="B423" s="8"/>
      <c r="C423" s="76" t="s">
        <v>76</v>
      </c>
      <c r="D423" s="318"/>
      <c r="E423" s="98">
        <f>SUMPRODUCT(('Base données'!M86:M91=H31)*('Base données'!N86:N91))</f>
        <v>7.0000000000000007E-2</v>
      </c>
      <c r="F423" s="2"/>
      <c r="G423" s="76" t="s">
        <v>79</v>
      </c>
      <c r="H423" s="98">
        <f>Valeur_Vn50/Volume*Valeur_n50*(Valeur_e/(1+Valeur_f/Valeur_e*POWER(Valeur_next/Valeur_n50,2)))</f>
        <v>0.21000000000000002</v>
      </c>
      <c r="I423" s="2" t="s">
        <v>70</v>
      </c>
      <c r="J423" s="2"/>
      <c r="K423" s="76" t="s">
        <v>77</v>
      </c>
      <c r="L423" s="75">
        <f>IF(H29='Base données'!M86,'Base données'!N86,'Base données'!N87)</f>
        <v>15</v>
      </c>
      <c r="M423" s="2"/>
      <c r="N423" s="76" t="s">
        <v>78</v>
      </c>
      <c r="O423" s="98">
        <f>IF(Choix_VMCSF=0,E396,0)</f>
        <v>0</v>
      </c>
      <c r="P423" s="98">
        <f>IF(Choix_VMCSF2=0,F396,0)</f>
        <v>0</v>
      </c>
      <c r="Q423" s="9"/>
      <c r="T423" s="55"/>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row>
    <row r="424" spans="2:44" x14ac:dyDescent="0.25">
      <c r="B424" s="8"/>
      <c r="C424" s="2"/>
      <c r="D424" s="2"/>
      <c r="E424" s="2"/>
      <c r="F424" s="2"/>
      <c r="G424" s="76" t="s">
        <v>445</v>
      </c>
      <c r="H424" s="98">
        <f>Valeur_Vn50/Volume*Valeur_n50*(Valeur_e/(1+Valeur_f/Valeur_e*POWER(Valeur_next2/Valeur_n50,2)))</f>
        <v>0.21000000000000002</v>
      </c>
      <c r="I424" s="2" t="s">
        <v>70</v>
      </c>
      <c r="J424" s="16">
        <f>Valeur_Vn50/Volume*Valeur_n50_RT2005*(Valeur_e/(1+Valeur_f/Valeur_e*POWER(Valeur_n_var1/Valeur_n50_RT2005,2)))</f>
        <v>0.17308482670108633</v>
      </c>
      <c r="K424" s="16"/>
      <c r="L424" s="16">
        <f>Valeur_Vn50/Volume*Valeur_n50_RT2012*(Valeur_e/(1+Valeur_f/Valeur_e*POWER(F393/Valeur_n50_RT2012,2)))</f>
        <v>6.8821818957224251E-2</v>
      </c>
      <c r="M424" s="2"/>
      <c r="N424" s="2"/>
      <c r="O424" s="2"/>
      <c r="P424" s="2"/>
      <c r="Q424" s="9"/>
      <c r="T424" s="55"/>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row>
    <row r="425" spans="2:44" x14ac:dyDescent="0.25">
      <c r="B425" s="8"/>
      <c r="C425" s="2"/>
      <c r="D425" s="2"/>
      <c r="E425" s="2"/>
      <c r="F425" s="78" t="s">
        <v>0</v>
      </c>
      <c r="G425" s="78"/>
      <c r="H425" s="78" t="s">
        <v>79</v>
      </c>
      <c r="I425" s="319"/>
      <c r="J425" s="78" t="s">
        <v>3</v>
      </c>
      <c r="K425" s="78"/>
      <c r="L425" s="78" t="s">
        <v>4</v>
      </c>
      <c r="M425" s="2"/>
      <c r="N425" s="2"/>
      <c r="O425" s="78" t="s">
        <v>5</v>
      </c>
      <c r="P425" s="78" t="s">
        <v>5</v>
      </c>
      <c r="Q425" s="9"/>
      <c r="T425" s="55"/>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row>
    <row r="426" spans="2:44" x14ac:dyDescent="0.25">
      <c r="B426" s="8"/>
      <c r="C426" s="2"/>
      <c r="D426" s="2"/>
      <c r="E426" s="2"/>
      <c r="F426" s="78"/>
      <c r="G426" s="78"/>
      <c r="H426" s="78" t="s">
        <v>85</v>
      </c>
      <c r="I426" s="319"/>
      <c r="J426" s="78" t="s">
        <v>8</v>
      </c>
      <c r="K426" s="78"/>
      <c r="L426" s="78" t="s">
        <v>9</v>
      </c>
      <c r="M426" s="2"/>
      <c r="N426" s="2"/>
      <c r="O426" s="78" t="s">
        <v>81</v>
      </c>
      <c r="P426" s="78" t="s">
        <v>81</v>
      </c>
      <c r="Q426" s="9"/>
      <c r="T426" s="55"/>
      <c r="U426" s="44"/>
      <c r="V426" s="44"/>
      <c r="W426" s="44"/>
      <c r="X426" s="44"/>
      <c r="Y426" s="44"/>
      <c r="Z426" s="44"/>
      <c r="AA426" s="44"/>
      <c r="AB426" s="44"/>
      <c r="AC426" s="44"/>
      <c r="AD426" s="44"/>
      <c r="AE426" s="4"/>
      <c r="AF426" s="4"/>
      <c r="AG426" s="4"/>
      <c r="AH426" s="4"/>
      <c r="AI426" s="4"/>
      <c r="AJ426" s="4"/>
      <c r="AK426" s="4"/>
      <c r="AL426" s="4"/>
      <c r="AM426" s="4"/>
      <c r="AN426" s="4"/>
      <c r="AO426" s="4"/>
      <c r="AP426" s="4"/>
      <c r="AQ426" s="4"/>
      <c r="AR426" s="4"/>
    </row>
    <row r="427" spans="2:44" x14ac:dyDescent="0.25">
      <c r="B427" s="8"/>
      <c r="C427" s="2"/>
      <c r="D427" s="2"/>
      <c r="E427" s="76" t="s">
        <v>80</v>
      </c>
      <c r="F427" s="75">
        <f>Volume</f>
        <v>347.5</v>
      </c>
      <c r="G427" s="3" t="s">
        <v>11</v>
      </c>
      <c r="H427" s="75">
        <f>Valeur_nL</f>
        <v>0.21000000000000002</v>
      </c>
      <c r="I427" s="319" t="s">
        <v>21</v>
      </c>
      <c r="J427" s="75">
        <f>Valeur_Cpair</f>
        <v>0.34</v>
      </c>
      <c r="K427" s="76" t="s">
        <v>11</v>
      </c>
      <c r="L427" s="75">
        <f>dju</f>
        <v>2532</v>
      </c>
      <c r="M427" s="78" t="s">
        <v>45</v>
      </c>
      <c r="N427" s="2" t="s">
        <v>14</v>
      </c>
      <c r="O427" s="84">
        <f>Volume*Valeur_nL*Valeur_Cpair*(dju*0.024)</f>
        <v>1507.7452320000004</v>
      </c>
      <c r="P427" s="84">
        <f>Volume*Valeur_nL2*Valeur_Cpair*(dju*0.024)</f>
        <v>1507.7452320000004</v>
      </c>
      <c r="Q427" s="99" t="s">
        <v>15</v>
      </c>
      <c r="T427" s="55"/>
      <c r="U427" s="44"/>
      <c r="V427" s="44"/>
      <c r="W427" s="44"/>
      <c r="X427" s="44"/>
      <c r="Y427" s="44"/>
      <c r="Z427" s="44"/>
      <c r="AA427" s="44"/>
      <c r="AB427" s="44"/>
      <c r="AC427" s="44"/>
      <c r="AD427" s="44"/>
      <c r="AE427" s="4"/>
      <c r="AF427" s="4"/>
      <c r="AG427" s="4"/>
      <c r="AH427" s="4"/>
      <c r="AI427" s="4"/>
      <c r="AJ427" s="4"/>
      <c r="AK427" s="4"/>
      <c r="AL427" s="4"/>
      <c r="AM427" s="4"/>
      <c r="AN427" s="4"/>
      <c r="AO427" s="4"/>
      <c r="AP427" s="4"/>
      <c r="AQ427" s="4"/>
      <c r="AR427" s="4"/>
    </row>
    <row r="428" spans="2:44" x14ac:dyDescent="0.25">
      <c r="B428" s="8"/>
      <c r="C428" s="2"/>
      <c r="D428" s="2"/>
      <c r="E428" s="2"/>
      <c r="F428" s="2"/>
      <c r="G428" s="2"/>
      <c r="H428" s="2"/>
      <c r="I428" s="2"/>
      <c r="J428" s="2"/>
      <c r="K428" s="2"/>
      <c r="L428" s="2"/>
      <c r="M428" s="2"/>
      <c r="N428" s="2"/>
      <c r="O428" s="2"/>
      <c r="P428" s="2"/>
      <c r="Q428" s="99"/>
      <c r="T428" s="55"/>
      <c r="U428" s="44"/>
      <c r="V428" s="44"/>
      <c r="W428" s="44"/>
      <c r="X428" s="44"/>
      <c r="Y428" s="44"/>
      <c r="Z428" s="44"/>
      <c r="AA428" s="44"/>
      <c r="AB428" s="44"/>
      <c r="AC428" s="44"/>
      <c r="AD428" s="44"/>
      <c r="AE428" s="4"/>
      <c r="AF428" s="4"/>
      <c r="AG428" s="4"/>
      <c r="AH428" s="4"/>
      <c r="AI428" s="4"/>
      <c r="AJ428" s="4"/>
      <c r="AK428" s="4"/>
      <c r="AL428" s="4"/>
      <c r="AM428" s="4"/>
      <c r="AN428" s="4"/>
      <c r="AO428" s="4"/>
      <c r="AP428" s="4"/>
      <c r="AQ428" s="4"/>
      <c r="AR428" s="4"/>
    </row>
    <row r="429" spans="2:44" x14ac:dyDescent="0.25">
      <c r="B429" s="8"/>
      <c r="C429" s="2"/>
      <c r="D429" s="2"/>
      <c r="E429" s="2"/>
      <c r="F429" s="2"/>
      <c r="G429" s="2"/>
      <c r="H429" s="2"/>
      <c r="I429" s="2"/>
      <c r="J429" s="78"/>
      <c r="K429" s="2"/>
      <c r="L429" s="2"/>
      <c r="M429" s="2"/>
      <c r="N429" s="2"/>
      <c r="O429" s="78" t="s">
        <v>82</v>
      </c>
      <c r="P429" s="78" t="s">
        <v>82</v>
      </c>
      <c r="Q429" s="99"/>
      <c r="T429" s="55"/>
      <c r="U429" s="55"/>
      <c r="V429" s="55"/>
      <c r="W429" s="55"/>
      <c r="X429" s="55"/>
      <c r="Y429" s="55"/>
      <c r="Z429" s="55"/>
      <c r="AA429" s="44"/>
      <c r="AB429" s="44"/>
      <c r="AC429" s="44"/>
      <c r="AD429" s="44"/>
      <c r="AE429" s="4"/>
      <c r="AF429" s="4"/>
      <c r="AG429" s="4"/>
      <c r="AH429" s="4"/>
      <c r="AI429" s="4"/>
      <c r="AJ429" s="4"/>
      <c r="AK429" s="4"/>
      <c r="AL429" s="4"/>
      <c r="AM429" s="4"/>
      <c r="AN429" s="4"/>
      <c r="AO429" s="4"/>
      <c r="AP429" s="4"/>
      <c r="AQ429" s="4"/>
      <c r="AR429" s="4"/>
    </row>
    <row r="430" spans="2:44" x14ac:dyDescent="0.25">
      <c r="B430" s="8"/>
      <c r="C430" s="2"/>
      <c r="D430" s="2"/>
      <c r="E430" s="2"/>
      <c r="F430" s="2"/>
      <c r="G430" s="2"/>
      <c r="H430" s="2"/>
      <c r="I430" s="2"/>
      <c r="J430" s="2"/>
      <c r="K430" s="2"/>
      <c r="L430" s="2"/>
      <c r="M430" s="2"/>
      <c r="N430" s="2"/>
      <c r="O430" s="78" t="s">
        <v>83</v>
      </c>
      <c r="P430" s="78" t="s">
        <v>83</v>
      </c>
      <c r="Q430" s="99"/>
      <c r="S430" s="55" t="e">
        <f>IF(#REF!='Base données'!D85,K58,K58+0.12)</f>
        <v>#REF!</v>
      </c>
      <c r="T430" s="55"/>
      <c r="U430" s="55"/>
      <c r="V430" s="55"/>
      <c r="W430" s="55"/>
      <c r="X430" s="55"/>
      <c r="Y430" s="55"/>
      <c r="Z430" s="55"/>
      <c r="AA430" s="44"/>
      <c r="AB430" s="44"/>
      <c r="AC430" s="44"/>
      <c r="AD430" s="44"/>
      <c r="AE430" s="4"/>
      <c r="AF430" s="4"/>
      <c r="AG430" s="4"/>
      <c r="AH430" s="4"/>
      <c r="AI430" s="4"/>
      <c r="AJ430" s="4"/>
      <c r="AK430" s="4"/>
      <c r="AL430" s="4"/>
      <c r="AM430" s="4"/>
      <c r="AN430" s="4"/>
      <c r="AO430" s="4"/>
      <c r="AP430" s="4"/>
      <c r="AQ430" s="4"/>
      <c r="AR430" s="4"/>
    </row>
    <row r="431" spans="2:44" x14ac:dyDescent="0.25">
      <c r="B431" s="8"/>
      <c r="C431" s="2"/>
      <c r="D431" s="2"/>
      <c r="E431" s="2"/>
      <c r="F431" s="2"/>
      <c r="G431" s="2"/>
      <c r="H431" s="2"/>
      <c r="I431" s="2"/>
      <c r="J431" s="2"/>
      <c r="K431" s="2"/>
      <c r="L431" s="2"/>
      <c r="M431" s="2"/>
      <c r="N431" s="2"/>
      <c r="O431" s="84">
        <f>H423+E396</f>
        <v>0.55532374100719428</v>
      </c>
      <c r="P431" s="84">
        <f>H424+F396</f>
        <v>0.55532374100719428</v>
      </c>
      <c r="Q431" s="99" t="s">
        <v>70</v>
      </c>
      <c r="S431" s="55" t="e">
        <f>IF(#REF!='Base données'!D87,0,S430)</f>
        <v>#REF!</v>
      </c>
      <c r="T431" s="55"/>
      <c r="U431" s="55"/>
      <c r="V431" s="55"/>
      <c r="W431" s="55"/>
      <c r="X431" s="55"/>
      <c r="Y431" s="55"/>
      <c r="Z431" s="55"/>
      <c r="AA431" s="44"/>
      <c r="AB431" s="44"/>
      <c r="AC431" s="44"/>
      <c r="AD431" s="44"/>
      <c r="AE431" s="4"/>
      <c r="AF431" s="4"/>
      <c r="AG431" s="4"/>
      <c r="AH431" s="4"/>
      <c r="AI431" s="4"/>
      <c r="AJ431" s="4"/>
      <c r="AK431" s="4"/>
      <c r="AL431" s="4"/>
      <c r="AM431" s="4"/>
      <c r="AN431" s="4"/>
      <c r="AO431" s="4"/>
      <c r="AP431" s="4"/>
      <c r="AQ431" s="4"/>
      <c r="AR431" s="4"/>
    </row>
    <row r="432" spans="2:44" x14ac:dyDescent="0.25">
      <c r="B432" s="8"/>
      <c r="C432" s="2"/>
      <c r="D432" s="2"/>
      <c r="E432" s="2"/>
      <c r="F432" s="2"/>
      <c r="G432" s="2"/>
      <c r="H432" s="2"/>
      <c r="I432" s="2"/>
      <c r="J432" s="2"/>
      <c r="K432" s="2"/>
      <c r="L432" s="2"/>
      <c r="M432" s="2"/>
      <c r="N432" s="2"/>
      <c r="O432" s="2"/>
      <c r="P432" s="2"/>
      <c r="Q432" s="9"/>
      <c r="S432" s="310" t="e">
        <f>IF(S431&gt;1,0.99,S431)</f>
        <v>#REF!</v>
      </c>
      <c r="T432" s="311">
        <f>O427</f>
        <v>1507.7452320000004</v>
      </c>
      <c r="U432" s="55" t="s">
        <v>507</v>
      </c>
      <c r="V432" s="312">
        <f>T432/T435</f>
        <v>0.37815779246016329</v>
      </c>
      <c r="W432" s="55"/>
      <c r="X432" s="311">
        <f>Calcul_qinf2</f>
        <v>1507.7452320000004</v>
      </c>
      <c r="Y432" s="55"/>
      <c r="Z432" s="55"/>
      <c r="AA432" s="44"/>
      <c r="AB432" s="44"/>
      <c r="AC432" s="44"/>
      <c r="AD432" s="44"/>
      <c r="AE432" s="4"/>
      <c r="AF432" s="4"/>
      <c r="AG432" s="4"/>
      <c r="AH432" s="4"/>
      <c r="AI432" s="4" t="s">
        <v>92</v>
      </c>
      <c r="AJ432" s="4"/>
      <c r="AK432" s="4"/>
      <c r="AL432" s="4"/>
      <c r="AM432" s="4"/>
      <c r="AN432" s="4"/>
      <c r="AO432" s="4"/>
      <c r="AP432" s="4"/>
      <c r="AQ432" s="4"/>
      <c r="AR432" s="4"/>
    </row>
    <row r="433" spans="2:44" x14ac:dyDescent="0.25">
      <c r="B433" s="8"/>
      <c r="C433" s="2"/>
      <c r="D433" s="2"/>
      <c r="E433" s="2"/>
      <c r="F433" s="2"/>
      <c r="G433" s="2"/>
      <c r="H433" s="2"/>
      <c r="I433" s="2"/>
      <c r="J433" s="2"/>
      <c r="K433" s="2"/>
      <c r="L433" s="2"/>
      <c r="M433" s="2"/>
      <c r="N433" s="2"/>
      <c r="O433" s="78" t="s">
        <v>84</v>
      </c>
      <c r="P433" s="78" t="s">
        <v>84</v>
      </c>
      <c r="Q433" s="9"/>
      <c r="S433" s="312" t="e">
        <f>IF(#REF!='Base données'!D85,K58-0.12,K58)</f>
        <v>#REF!</v>
      </c>
      <c r="T433" s="311">
        <f>O390-H451</f>
        <v>396.69350400000008</v>
      </c>
      <c r="U433" s="55" t="s">
        <v>508</v>
      </c>
      <c r="V433" s="312">
        <f>T433/T435</f>
        <v>9.9494753206373895E-2</v>
      </c>
      <c r="W433" s="55"/>
      <c r="X433" s="311">
        <f>P390-J451</f>
        <v>396.69350400000008</v>
      </c>
      <c r="Y433" s="55"/>
      <c r="Z433" s="55"/>
      <c r="AA433" s="44"/>
      <c r="AB433" s="44"/>
      <c r="AC433" s="44"/>
      <c r="AD433" s="44"/>
      <c r="AE433" s="4"/>
      <c r="AF433" s="4"/>
      <c r="AG433" s="4"/>
      <c r="AH433" s="4"/>
      <c r="AI433" s="4" t="s">
        <v>93</v>
      </c>
      <c r="AJ433" s="4"/>
      <c r="AK433" s="4"/>
      <c r="AL433" s="4"/>
      <c r="AM433" s="4"/>
      <c r="AN433" s="4"/>
      <c r="AO433" s="4"/>
      <c r="AP433" s="4"/>
      <c r="AQ433" s="4"/>
      <c r="AR433" s="4"/>
    </row>
    <row r="434" spans="2:44" x14ac:dyDescent="0.25">
      <c r="B434" s="8"/>
      <c r="C434" s="2"/>
      <c r="D434" s="2"/>
      <c r="E434" s="2"/>
      <c r="F434" s="2"/>
      <c r="G434" s="2"/>
      <c r="H434" s="2"/>
      <c r="I434" s="2"/>
      <c r="J434" s="2"/>
      <c r="K434" s="2"/>
      <c r="L434" s="2"/>
      <c r="M434" s="2"/>
      <c r="N434" s="2"/>
      <c r="O434" s="78" t="s">
        <v>2</v>
      </c>
      <c r="P434" s="78" t="s">
        <v>2</v>
      </c>
      <c r="Q434" s="99"/>
      <c r="S434" s="312">
        <f>H390</f>
        <v>0.84</v>
      </c>
      <c r="T434" s="311">
        <f>O392+H451</f>
        <v>2082.6408959999999</v>
      </c>
      <c r="U434" s="55" t="s">
        <v>509</v>
      </c>
      <c r="V434" s="312">
        <f>T434/T435</f>
        <v>0.52234745433346286</v>
      </c>
      <c r="W434" s="55"/>
      <c r="X434" s="311">
        <f>P392+J451</f>
        <v>2082.6408959999999</v>
      </c>
      <c r="Y434" s="55"/>
      <c r="Z434" s="55"/>
      <c r="AA434" s="44"/>
      <c r="AB434" s="44"/>
      <c r="AC434" s="44"/>
      <c r="AD434" s="44"/>
      <c r="AE434" s="4"/>
      <c r="AF434" s="4"/>
      <c r="AG434" s="4"/>
      <c r="AH434" s="4"/>
      <c r="AI434" s="4" t="s">
        <v>94</v>
      </c>
      <c r="AJ434" s="4"/>
      <c r="AK434" s="4"/>
      <c r="AL434" s="4"/>
      <c r="AM434" s="4"/>
      <c r="AN434" s="4"/>
      <c r="AO434" s="4"/>
      <c r="AP434" s="4"/>
      <c r="AQ434" s="4"/>
      <c r="AR434" s="4"/>
    </row>
    <row r="435" spans="2:44" x14ac:dyDescent="0.25">
      <c r="B435" s="8"/>
      <c r="C435" s="2"/>
      <c r="D435" s="2"/>
      <c r="E435" s="2"/>
      <c r="F435" s="2"/>
      <c r="G435" s="2"/>
      <c r="H435" s="2"/>
      <c r="I435" s="2"/>
      <c r="J435" s="2"/>
      <c r="K435" s="2"/>
      <c r="L435" s="2"/>
      <c r="M435" s="2"/>
      <c r="N435" s="2"/>
      <c r="O435" s="84">
        <f>(E393*H390+H427*0)/O431</f>
        <v>0.52234745433346286</v>
      </c>
      <c r="P435" s="84">
        <f>(F396*F395+H424*0)/P431</f>
        <v>0.52234745433346286</v>
      </c>
      <c r="Q435" s="9"/>
      <c r="S435" s="310">
        <f>O435</f>
        <v>0.52234745433346286</v>
      </c>
      <c r="T435" s="311">
        <f>SUM(T432:T434)</f>
        <v>3987.0796320000004</v>
      </c>
      <c r="U435" s="55"/>
      <c r="V435" s="55"/>
      <c r="W435" s="55"/>
      <c r="X435" s="311">
        <f>SUM(X432:X434)</f>
        <v>3987.0796320000004</v>
      </c>
      <c r="Y435" s="55"/>
      <c r="Z435" s="55"/>
      <c r="AA435" s="44"/>
      <c r="AB435" s="44"/>
      <c r="AC435" s="44"/>
      <c r="AD435" s="44"/>
      <c r="AE435" s="4"/>
      <c r="AF435" s="4"/>
      <c r="AG435" s="4"/>
      <c r="AH435" s="4"/>
      <c r="AI435" s="4" t="s">
        <v>84</v>
      </c>
      <c r="AJ435" s="4"/>
      <c r="AK435" s="4"/>
      <c r="AL435" s="4"/>
      <c r="AM435" s="4"/>
      <c r="AN435" s="4"/>
      <c r="AO435" s="4"/>
      <c r="AP435" s="4"/>
      <c r="AQ435" s="4"/>
      <c r="AR435" s="4"/>
    </row>
    <row r="436" spans="2:44" x14ac:dyDescent="0.25">
      <c r="B436" s="8"/>
      <c r="C436" s="2"/>
      <c r="D436" s="2"/>
      <c r="E436" s="2"/>
      <c r="F436" s="2"/>
      <c r="G436" s="2"/>
      <c r="H436" s="2"/>
      <c r="I436" s="2"/>
      <c r="J436" s="2"/>
      <c r="K436" s="2"/>
      <c r="L436" s="2"/>
      <c r="M436" s="2"/>
      <c r="N436" s="2"/>
      <c r="O436" s="2"/>
      <c r="P436" s="2"/>
      <c r="Q436" s="9"/>
      <c r="T436" s="55"/>
      <c r="U436" s="55"/>
      <c r="V436" s="55"/>
      <c r="W436" s="55"/>
      <c r="X436" s="55"/>
      <c r="Y436" s="55"/>
      <c r="Z436" s="55"/>
      <c r="AA436" s="44"/>
      <c r="AB436" s="44"/>
      <c r="AC436" s="44"/>
      <c r="AD436" s="44"/>
      <c r="AE436" s="4"/>
      <c r="AF436" s="4"/>
      <c r="AG436" s="4"/>
      <c r="AH436" s="4"/>
      <c r="AI436" s="4"/>
      <c r="AJ436" s="4"/>
      <c r="AK436" s="4"/>
      <c r="AL436" s="4"/>
      <c r="AM436" s="4"/>
      <c r="AN436" s="4"/>
      <c r="AO436" s="4"/>
      <c r="AP436" s="4"/>
      <c r="AQ436" s="4"/>
      <c r="AR436" s="4"/>
    </row>
    <row r="437" spans="2:44" x14ac:dyDescent="0.25">
      <c r="B437" s="8"/>
      <c r="C437" s="2"/>
      <c r="D437" s="2"/>
      <c r="E437" s="2"/>
      <c r="F437" s="2"/>
      <c r="G437" s="2"/>
      <c r="H437" s="2"/>
      <c r="I437" s="2"/>
      <c r="J437" s="2"/>
      <c r="K437" s="2"/>
      <c r="L437" s="2"/>
      <c r="M437" s="2"/>
      <c r="N437" s="2"/>
      <c r="O437" s="2"/>
      <c r="P437" s="2"/>
      <c r="Q437" s="9"/>
      <c r="T437" s="311">
        <f>O395</f>
        <v>13.700998100719428</v>
      </c>
      <c r="U437" s="55" t="s">
        <v>147</v>
      </c>
      <c r="V437" s="55"/>
      <c r="W437" s="55"/>
      <c r="X437" s="55"/>
      <c r="Y437" s="55"/>
      <c r="Z437" s="55"/>
      <c r="AA437" s="44"/>
      <c r="AB437" s="44"/>
      <c r="AC437" s="44"/>
      <c r="AD437" s="44"/>
      <c r="AE437" s="4"/>
      <c r="AF437" s="4"/>
      <c r="AG437" s="4"/>
      <c r="AH437" s="4"/>
      <c r="AI437" s="4"/>
      <c r="AJ437" s="4"/>
      <c r="AK437" s="4"/>
      <c r="AL437" s="4"/>
      <c r="AM437" s="4"/>
      <c r="AN437" s="4"/>
      <c r="AO437" s="4"/>
      <c r="AP437" s="4"/>
      <c r="AQ437" s="4"/>
      <c r="AR437" s="4"/>
    </row>
    <row r="438" spans="2:44" ht="16.5" thickBot="1" x14ac:dyDescent="0.3">
      <c r="B438" s="12"/>
      <c r="C438" s="13"/>
      <c r="D438" s="13"/>
      <c r="E438" s="13"/>
      <c r="F438" s="13"/>
      <c r="G438" s="13"/>
      <c r="H438" s="13"/>
      <c r="I438" s="13"/>
      <c r="J438" s="13"/>
      <c r="K438" s="13"/>
      <c r="L438" s="13"/>
      <c r="M438" s="13"/>
      <c r="N438" s="13"/>
      <c r="O438" s="13"/>
      <c r="P438" s="13"/>
      <c r="Q438" s="14"/>
      <c r="T438" s="55"/>
      <c r="U438" s="55"/>
      <c r="V438" s="55"/>
      <c r="W438" s="55"/>
      <c r="X438" s="55"/>
      <c r="Y438" s="55"/>
      <c r="Z438" s="55"/>
      <c r="AA438" s="44"/>
      <c r="AB438" s="44"/>
      <c r="AC438" s="44"/>
      <c r="AD438" s="44"/>
      <c r="AE438" s="4"/>
      <c r="AF438" s="4"/>
      <c r="AG438" s="4"/>
      <c r="AH438" s="4"/>
      <c r="AI438" s="4"/>
      <c r="AJ438" s="4"/>
      <c r="AK438" s="4"/>
      <c r="AL438" s="4"/>
      <c r="AM438" s="4"/>
      <c r="AN438" s="4"/>
      <c r="AO438" s="4"/>
      <c r="AP438" s="4"/>
      <c r="AQ438" s="4"/>
      <c r="AR438" s="4"/>
    </row>
    <row r="439" spans="2:44" ht="17.25" customHeight="1" thickBot="1" x14ac:dyDescent="0.3">
      <c r="S439" s="55">
        <f>Volume*valeur_n*(1-'Base données'!G87)*Valeur_Cpair*(dju*0.024)</f>
        <v>2479.3344000000002</v>
      </c>
      <c r="T439" s="55">
        <f>(S439+V439)/H21</f>
        <v>26.777254066122275</v>
      </c>
      <c r="U439" s="313" t="s">
        <v>195</v>
      </c>
      <c r="V439" s="55">
        <f>Volume*Valeur_nL_RT2005*Valeur_Cpair*(dju*0.024)</f>
        <v>1242.7039151909962</v>
      </c>
      <c r="W439" s="55"/>
      <c r="X439" s="55">
        <f>E392</f>
        <v>347.5</v>
      </c>
      <c r="Y439" s="55"/>
      <c r="Z439" s="55">
        <f>Selection_n50_RT2005</f>
        <v>5</v>
      </c>
      <c r="AA439" s="44"/>
      <c r="AB439" s="44"/>
      <c r="AC439" s="44"/>
      <c r="AD439" s="44"/>
      <c r="AE439" s="4"/>
      <c r="AF439" s="4"/>
      <c r="AG439" s="4"/>
      <c r="AH439" s="4"/>
      <c r="AI439" s="4"/>
      <c r="AJ439" s="4"/>
      <c r="AK439" s="4"/>
      <c r="AL439" s="4"/>
      <c r="AM439" s="4"/>
      <c r="AN439" s="4"/>
      <c r="AO439" s="4"/>
      <c r="AP439" s="4"/>
      <c r="AQ439" s="4"/>
      <c r="AR439" s="4"/>
    </row>
    <row r="440" spans="2:44" ht="24.75" customHeight="1" thickBot="1" x14ac:dyDescent="0.45">
      <c r="B440" s="411" t="s">
        <v>272</v>
      </c>
      <c r="C440" s="412"/>
      <c r="D440" s="412"/>
      <c r="E440" s="412"/>
      <c r="F440" s="412"/>
      <c r="G440" s="412"/>
      <c r="H440" s="412"/>
      <c r="I440" s="412"/>
      <c r="J440" s="412"/>
      <c r="K440" s="412"/>
      <c r="L440" s="412"/>
      <c r="M440" s="412"/>
      <c r="N440" s="412"/>
      <c r="O440" s="412"/>
      <c r="P440" s="412"/>
      <c r="Q440" s="413"/>
      <c r="S440" s="55">
        <f>Volume*valeur_n*(1-'Base données'!G88)*Valeur_Cpair*(dju*0.024)</f>
        <v>2107.43424</v>
      </c>
      <c r="T440" s="55">
        <f>(S440+V440)/H21</f>
        <v>18.716237060305655</v>
      </c>
      <c r="U440" s="313" t="s">
        <v>196</v>
      </c>
      <c r="V440" s="55">
        <f>Volume*Valeur_nL_RT2012*Valeur_Cpair*(dju*0.024)</f>
        <v>494.12271138248616</v>
      </c>
      <c r="W440" s="55"/>
      <c r="X440" s="55">
        <f>E392</f>
        <v>347.5</v>
      </c>
      <c r="Y440" s="55"/>
      <c r="Z440" s="55">
        <f>Selection_n50_RT2012</f>
        <v>3</v>
      </c>
      <c r="AA440" s="44"/>
      <c r="AB440" s="44"/>
      <c r="AC440" s="44"/>
      <c r="AD440" s="44"/>
      <c r="AE440" s="4"/>
      <c r="AF440" s="4"/>
      <c r="AG440" s="4"/>
      <c r="AH440" s="4"/>
      <c r="AI440" s="4"/>
      <c r="AJ440" s="4"/>
      <c r="AK440" s="4"/>
      <c r="AL440" s="4"/>
      <c r="AM440" s="4"/>
      <c r="AN440" s="4"/>
      <c r="AO440" s="4"/>
      <c r="AP440" s="4"/>
      <c r="AQ440" s="4"/>
      <c r="AR440" s="4"/>
    </row>
    <row r="441" spans="2:44" x14ac:dyDescent="0.25">
      <c r="B441" s="409" t="s">
        <v>127</v>
      </c>
      <c r="C441" s="410"/>
      <c r="D441" s="38"/>
      <c r="E441" s="45" t="s">
        <v>194</v>
      </c>
      <c r="F441" s="38"/>
      <c r="G441" s="38"/>
      <c r="H441" s="38"/>
      <c r="I441" s="38"/>
      <c r="K441" s="38">
        <f>IF(Lexique!F174="OUI",1,0)</f>
        <v>1</v>
      </c>
      <c r="P441" s="38"/>
      <c r="Q441" s="38"/>
      <c r="T441" s="55">
        <v>4</v>
      </c>
      <c r="U441" s="55" t="s">
        <v>146</v>
      </c>
      <c r="V441" s="55"/>
      <c r="W441" s="55"/>
      <c r="X441" s="55"/>
      <c r="Y441" s="55"/>
      <c r="Z441" s="55"/>
      <c r="AA441" s="44"/>
      <c r="AB441" s="44"/>
      <c r="AC441" s="44"/>
      <c r="AD441" s="44"/>
      <c r="AE441" s="4"/>
      <c r="AF441" s="4"/>
      <c r="AG441" s="4"/>
      <c r="AH441" s="4"/>
      <c r="AI441" s="4"/>
      <c r="AJ441" s="4"/>
      <c r="AK441" s="4"/>
      <c r="AL441" s="4"/>
      <c r="AM441" s="4"/>
      <c r="AN441" s="4"/>
      <c r="AO441" s="4"/>
      <c r="AP441" s="4"/>
      <c r="AQ441" s="4"/>
      <c r="AR441" s="4"/>
    </row>
    <row r="442" spans="2:44" x14ac:dyDescent="0.25">
      <c r="B442" s="45"/>
      <c r="C442" s="38"/>
      <c r="D442" s="38"/>
      <c r="E442" s="38"/>
      <c r="F442" s="38"/>
      <c r="G442" s="38"/>
      <c r="H442" s="38"/>
      <c r="I442" s="38"/>
      <c r="J442" s="75">
        <f>205*EXP(0.24*Lexique!F175)/1000</f>
        <v>0.20499999999999999</v>
      </c>
      <c r="K442" s="38"/>
      <c r="L442" s="2"/>
      <c r="M442" s="2"/>
      <c r="N442" s="2"/>
      <c r="O442" s="2"/>
      <c r="P442" s="2"/>
      <c r="Q442" s="9"/>
      <c r="T442" s="55"/>
      <c r="U442" s="55"/>
      <c r="V442" s="55"/>
      <c r="W442" s="55"/>
      <c r="X442" s="55"/>
      <c r="Y442" s="55"/>
      <c r="Z442" s="55"/>
      <c r="AA442" s="44"/>
      <c r="AB442" s="44"/>
      <c r="AC442" s="44"/>
      <c r="AD442" s="44"/>
      <c r="AE442" s="4"/>
      <c r="AF442" s="4"/>
      <c r="AG442" s="4"/>
      <c r="AH442" s="4"/>
      <c r="AI442" s="4"/>
      <c r="AJ442" s="4"/>
      <c r="AK442" s="4"/>
      <c r="AL442" s="4"/>
      <c r="AM442" s="4"/>
      <c r="AN442" s="4"/>
      <c r="AO442" s="4"/>
      <c r="AP442" s="4"/>
      <c r="AQ442" s="4"/>
      <c r="AR442" s="4"/>
    </row>
    <row r="443" spans="2:44" x14ac:dyDescent="0.25">
      <c r="B443" s="8"/>
      <c r="C443" s="76" t="s">
        <v>102</v>
      </c>
      <c r="D443" s="38"/>
      <c r="E443" s="75">
        <f>E393*Volume*(Lexique!F175+10.8)*0.333/1</f>
        <v>431.56800000000004</v>
      </c>
      <c r="F443" s="38" t="s">
        <v>103</v>
      </c>
      <c r="G443" s="2"/>
      <c r="H443" s="78" t="s">
        <v>104</v>
      </c>
      <c r="I443" s="38"/>
      <c r="J443" s="75">
        <f>IF(OR(Choix_VMCSF=0,Choix_batterie="non"),0,E443*O70*J442)</f>
        <v>88.471440000000001</v>
      </c>
      <c r="K443" s="78" t="s">
        <v>15</v>
      </c>
      <c r="L443" s="2"/>
      <c r="M443" s="78" t="s">
        <v>109</v>
      </c>
      <c r="N443" s="2"/>
      <c r="O443" s="75">
        <v>20</v>
      </c>
      <c r="P443" s="78" t="s">
        <v>110</v>
      </c>
      <c r="Q443" s="9"/>
      <c r="T443" s="55"/>
      <c r="U443" s="55"/>
      <c r="V443" s="55"/>
      <c r="W443" s="55"/>
      <c r="X443" s="55"/>
      <c r="Y443" s="55"/>
      <c r="Z443" s="55"/>
      <c r="AA443" s="44"/>
      <c r="AB443" s="44"/>
      <c r="AC443" s="44"/>
      <c r="AD443" s="44"/>
      <c r="AE443" s="4"/>
      <c r="AF443" s="4"/>
      <c r="AG443" s="4"/>
      <c r="AH443" s="4"/>
      <c r="AI443" s="4"/>
      <c r="AJ443" s="4"/>
      <c r="AK443" s="4"/>
      <c r="AL443" s="4"/>
      <c r="AM443" s="4"/>
      <c r="AN443" s="4"/>
      <c r="AO443" s="4"/>
      <c r="AP443" s="4"/>
      <c r="AQ443" s="4"/>
      <c r="AR443" s="4"/>
    </row>
    <row r="444" spans="2:44" x14ac:dyDescent="0.25">
      <c r="B444" s="45"/>
      <c r="C444" s="76" t="s">
        <v>102</v>
      </c>
      <c r="D444" s="38"/>
      <c r="E444" s="75">
        <f>valeur_n*Volume*(Lexique!F175+10.8)*0.333/1</f>
        <v>431.56800000000004</v>
      </c>
      <c r="F444" s="38" t="s">
        <v>103</v>
      </c>
      <c r="G444" s="2"/>
      <c r="H444" s="78" t="s">
        <v>104</v>
      </c>
      <c r="I444" s="38"/>
      <c r="J444" s="75">
        <f>IF(OR(Choix_VMCSF2=0,Choix_batterie="non"),0,E444*G260*J442)</f>
        <v>88.471440000000001</v>
      </c>
      <c r="K444" s="78" t="s">
        <v>15</v>
      </c>
      <c r="L444" s="2"/>
      <c r="M444" s="2"/>
      <c r="N444" s="2"/>
      <c r="O444" s="2"/>
      <c r="P444" s="2"/>
      <c r="Q444" s="9"/>
      <c r="T444" s="55"/>
      <c r="U444" s="55"/>
      <c r="V444" s="55"/>
      <c r="W444" s="55"/>
      <c r="X444" s="55"/>
      <c r="Y444" s="55"/>
      <c r="Z444" s="55"/>
      <c r="AA444" s="44"/>
      <c r="AB444" s="44"/>
      <c r="AC444" s="44"/>
      <c r="AD444" s="44"/>
      <c r="AE444" s="4"/>
      <c r="AF444" s="4"/>
      <c r="AG444" s="4"/>
      <c r="AH444" s="4"/>
      <c r="AI444" s="4"/>
      <c r="AJ444" s="4"/>
      <c r="AK444" s="4"/>
      <c r="AL444" s="4"/>
      <c r="AM444" s="4"/>
      <c r="AN444" s="4"/>
      <c r="AO444" s="4"/>
      <c r="AP444" s="4"/>
      <c r="AQ444" s="4"/>
      <c r="AR444" s="4"/>
    </row>
    <row r="445" spans="2:44" ht="16.5" thickBot="1" x14ac:dyDescent="0.3">
      <c r="B445" s="45"/>
      <c r="C445" s="38"/>
      <c r="D445" s="38"/>
      <c r="E445" s="38"/>
      <c r="F445" s="38"/>
      <c r="G445" s="38"/>
      <c r="H445" s="38"/>
      <c r="I445" s="38"/>
      <c r="J445" s="38"/>
      <c r="K445" s="38"/>
      <c r="L445" s="2"/>
      <c r="M445" s="2"/>
      <c r="N445" s="2"/>
      <c r="O445" s="2"/>
      <c r="P445" s="2"/>
      <c r="Q445" s="9"/>
      <c r="S445" s="55">
        <f>C390*E393*'Base données'!G88*J390*(L390*0.024)</f>
        <v>371.90016000000003</v>
      </c>
      <c r="T445" s="311">
        <f>T437</f>
        <v>13.700998100719428</v>
      </c>
      <c r="U445" s="55" t="s">
        <v>147</v>
      </c>
      <c r="V445" s="55"/>
      <c r="W445" s="55"/>
      <c r="X445" s="55"/>
      <c r="Y445" s="55"/>
      <c r="Z445" s="55"/>
      <c r="AA445" s="44"/>
      <c r="AB445" s="44"/>
      <c r="AC445" s="44"/>
      <c r="AD445" s="44"/>
      <c r="AE445" s="4"/>
      <c r="AF445" s="4"/>
      <c r="AG445" s="4"/>
      <c r="AH445" s="4"/>
      <c r="AI445" s="4"/>
      <c r="AJ445" s="4"/>
      <c r="AK445" s="4"/>
      <c r="AL445" s="4"/>
      <c r="AM445" s="4"/>
      <c r="AN445" s="4"/>
      <c r="AO445" s="4"/>
      <c r="AP445" s="4"/>
      <c r="AQ445" s="4"/>
      <c r="AR445" s="4"/>
    </row>
    <row r="446" spans="2:44" x14ac:dyDescent="0.25">
      <c r="B446" s="45"/>
      <c r="C446" s="78" t="s">
        <v>106</v>
      </c>
      <c r="D446" s="46"/>
      <c r="E446" s="46"/>
      <c r="F446" s="78" t="s">
        <v>2</v>
      </c>
      <c r="G446" s="46"/>
      <c r="H446" s="38"/>
      <c r="I446" s="38"/>
      <c r="J446" s="78" t="s">
        <v>108</v>
      </c>
      <c r="K446" s="38"/>
      <c r="L446" s="5"/>
      <c r="M446" s="101" t="s">
        <v>111</v>
      </c>
      <c r="N446" s="6"/>
      <c r="O446" s="6"/>
      <c r="P446" s="6"/>
      <c r="Q446" s="7"/>
      <c r="T446" s="311">
        <f>P395</f>
        <v>13.700998100719428</v>
      </c>
      <c r="U446" s="55" t="s">
        <v>206</v>
      </c>
      <c r="V446" s="55"/>
      <c r="W446" s="55"/>
      <c r="X446" s="55"/>
      <c r="Y446" s="55"/>
      <c r="Z446" s="55"/>
      <c r="AA446" s="44"/>
      <c r="AB446" s="44"/>
      <c r="AC446" s="44"/>
      <c r="AD446" s="44"/>
      <c r="AE446" s="4"/>
      <c r="AF446" s="4"/>
      <c r="AG446" s="4"/>
      <c r="AH446" s="4"/>
      <c r="AI446" s="4"/>
      <c r="AJ446" s="4"/>
      <c r="AK446" s="4"/>
      <c r="AL446" s="4"/>
      <c r="AM446" s="4"/>
      <c r="AN446" s="4"/>
      <c r="AO446" s="4"/>
      <c r="AP446" s="4"/>
      <c r="AQ446" s="4"/>
      <c r="AR446" s="4"/>
    </row>
    <row r="447" spans="2:44" x14ac:dyDescent="0.25">
      <c r="B447" s="45"/>
      <c r="C447" s="78" t="s">
        <v>107</v>
      </c>
      <c r="D447" s="47"/>
      <c r="E447" s="46"/>
      <c r="F447" s="78" t="s">
        <v>7</v>
      </c>
      <c r="G447" s="46"/>
      <c r="H447" s="38"/>
      <c r="I447" s="38"/>
      <c r="J447" s="78" t="s">
        <v>115</v>
      </c>
      <c r="K447" s="38"/>
      <c r="L447" s="8"/>
      <c r="M447" s="78" t="s">
        <v>116</v>
      </c>
      <c r="N447" s="2"/>
      <c r="O447" s="75">
        <f>(Valeur_Tconsigne-Valeur_Text)*Valeur_nwrgeff_1+Valeur_Text</f>
        <v>16</v>
      </c>
      <c r="P447" s="75">
        <f>(Valeur_Tconsigne-Valeur_Text)*Valeur_nWRGeff_2+Valeur_Text</f>
        <v>16</v>
      </c>
      <c r="Q447" s="9" t="s">
        <v>110</v>
      </c>
      <c r="T447" s="55"/>
      <c r="U447" s="55"/>
      <c r="V447" s="55"/>
      <c r="W447" s="55"/>
      <c r="X447" s="55"/>
      <c r="Y447" s="55"/>
      <c r="Z447" s="55"/>
      <c r="AA447" s="44"/>
      <c r="AB447" s="44"/>
      <c r="AC447" s="44"/>
      <c r="AD447" s="44"/>
      <c r="AE447" s="4"/>
      <c r="AF447" s="4"/>
      <c r="AG447" s="4"/>
      <c r="AH447" s="4"/>
      <c r="AI447" s="4"/>
      <c r="AJ447" s="4"/>
      <c r="AK447" s="4"/>
      <c r="AL447" s="4"/>
      <c r="AM447" s="4"/>
      <c r="AN447" s="4"/>
      <c r="AO447" s="4"/>
      <c r="AP447" s="4"/>
      <c r="AQ447" s="4"/>
      <c r="AR447" s="4"/>
    </row>
    <row r="448" spans="2:44" x14ac:dyDescent="0.25">
      <c r="B448" s="45"/>
      <c r="C448" s="75">
        <v>-5</v>
      </c>
      <c r="D448" s="47"/>
      <c r="E448" s="38"/>
      <c r="F448" s="109">
        <f>Valeur_nwrgeff_1</f>
        <v>0.84</v>
      </c>
      <c r="G448" s="38"/>
      <c r="H448" s="38"/>
      <c r="I448" s="38"/>
      <c r="J448" s="109">
        <f>(O449-C448)/(O443-C448)</f>
        <v>0.84</v>
      </c>
      <c r="K448" s="38"/>
      <c r="L448" s="95"/>
      <c r="M448" s="2"/>
      <c r="N448" s="2"/>
      <c r="O448" s="2"/>
      <c r="P448" s="2"/>
      <c r="Q448" s="9"/>
      <c r="T448" s="311">
        <f>T439</f>
        <v>26.777254066122275</v>
      </c>
      <c r="U448" s="313" t="s">
        <v>195</v>
      </c>
      <c r="V448" s="55"/>
      <c r="W448" s="55"/>
      <c r="X448" s="55"/>
      <c r="Y448" s="55"/>
      <c r="Z448" s="55"/>
      <c r="AA448" s="44"/>
      <c r="AB448" s="44"/>
      <c r="AC448" s="44"/>
      <c r="AD448" s="44"/>
      <c r="AE448" s="4"/>
      <c r="AF448" s="4"/>
      <c r="AG448" s="4"/>
      <c r="AH448" s="4"/>
      <c r="AI448" s="4"/>
      <c r="AJ448" s="4"/>
      <c r="AK448" s="4"/>
      <c r="AL448" s="4"/>
      <c r="AM448" s="4"/>
      <c r="AN448" s="4"/>
      <c r="AO448" s="4"/>
      <c r="AP448" s="4"/>
      <c r="AQ448" s="4"/>
      <c r="AR448" s="4"/>
    </row>
    <row r="449" spans="2:44" ht="16.5" thickBot="1" x14ac:dyDescent="0.3">
      <c r="B449" s="45"/>
      <c r="C449" s="38"/>
      <c r="D449" s="38"/>
      <c r="E449" s="78" t="s">
        <v>274</v>
      </c>
      <c r="F449" s="109">
        <f>Valeur_nWRGeff_2</f>
        <v>0.84</v>
      </c>
      <c r="G449" s="38"/>
      <c r="H449" s="38"/>
      <c r="I449" s="38"/>
      <c r="J449" s="109">
        <f>(P449-C448)/(O443-C448)</f>
        <v>0.84</v>
      </c>
      <c r="K449" s="38"/>
      <c r="L449" s="8"/>
      <c r="M449" s="78" t="s">
        <v>112</v>
      </c>
      <c r="N449" s="2"/>
      <c r="O449" s="96">
        <f>(Valeur_Tconsigne-Valeur_TsortiePcan)*Valeur_nwrgeff_1+Valeur_TsortiePcan</f>
        <v>16</v>
      </c>
      <c r="P449" s="96">
        <f>IF(Choix_pcan_2="NON",P447,(Valeur_Tconsigne-Valeur_TsortiePcan)*Valeur_nWRGeff_2+Valeur_TsortiePcan)</f>
        <v>16</v>
      </c>
      <c r="Q449" s="14" t="s">
        <v>110</v>
      </c>
      <c r="T449" s="311">
        <f>T440</f>
        <v>18.716237060305655</v>
      </c>
      <c r="U449" s="313" t="s">
        <v>196</v>
      </c>
      <c r="V449" s="55"/>
      <c r="W449" s="55"/>
      <c r="X449" s="55"/>
      <c r="Y449" s="55"/>
      <c r="Z449" s="55"/>
      <c r="AA449" s="4"/>
      <c r="AB449" s="4"/>
      <c r="AC449" s="4"/>
      <c r="AD449" s="4"/>
      <c r="AE449" s="4"/>
      <c r="AF449" s="4"/>
      <c r="AG449" s="4"/>
      <c r="AH449" s="4"/>
      <c r="AI449" s="4"/>
      <c r="AJ449" s="4"/>
      <c r="AK449" s="4"/>
      <c r="AL449" s="4"/>
      <c r="AM449" s="4"/>
      <c r="AN449" s="4"/>
      <c r="AO449" s="4"/>
      <c r="AP449" s="4"/>
      <c r="AQ449" s="4"/>
      <c r="AR449" s="4"/>
    </row>
    <row r="450" spans="2:44" x14ac:dyDescent="0.25">
      <c r="B450" s="45"/>
      <c r="C450" s="2"/>
      <c r="D450" s="2"/>
      <c r="E450" s="2"/>
      <c r="F450" s="2"/>
      <c r="G450" s="2"/>
      <c r="H450" s="2"/>
      <c r="I450" s="2"/>
      <c r="J450" s="2"/>
      <c r="K450" s="38"/>
      <c r="L450" s="95"/>
      <c r="M450" s="2"/>
      <c r="N450" s="2"/>
      <c r="O450" s="2"/>
      <c r="P450" s="9"/>
      <c r="Q450" s="58"/>
      <c r="T450" s="311">
        <f>T441</f>
        <v>4</v>
      </c>
      <c r="U450" s="313" t="s">
        <v>146</v>
      </c>
      <c r="V450" s="55"/>
      <c r="W450" s="55"/>
      <c r="X450" s="55"/>
      <c r="Y450" s="55"/>
      <c r="Z450" s="55"/>
      <c r="AA450" s="4"/>
      <c r="AB450" s="4"/>
      <c r="AC450" s="4"/>
      <c r="AD450" s="4"/>
      <c r="AE450" s="4"/>
      <c r="AF450" s="4"/>
      <c r="AG450" s="4"/>
      <c r="AH450" s="4"/>
      <c r="AI450" s="4"/>
      <c r="AJ450" s="4"/>
      <c r="AK450" s="4"/>
      <c r="AL450" s="4"/>
      <c r="AM450" s="4"/>
      <c r="AN450" s="4"/>
      <c r="AO450" s="4"/>
      <c r="AP450" s="4"/>
      <c r="AQ450" s="4"/>
      <c r="AR450" s="4"/>
    </row>
    <row r="451" spans="2:44" x14ac:dyDescent="0.25">
      <c r="B451" s="45"/>
      <c r="C451" s="38"/>
      <c r="D451" s="38"/>
      <c r="E451" s="38"/>
      <c r="F451" s="76" t="s">
        <v>121</v>
      </c>
      <c r="G451" s="38"/>
      <c r="H451" s="75">
        <f>IF(H453="",(C390*F390*(J448-F448)*J390*(L390*0.024)),H453)</f>
        <v>0</v>
      </c>
      <c r="I451" s="38"/>
      <c r="J451" s="75">
        <f>IF(H453="",(C390*F390*(J449-F449)*J390*(L390*0.024)),H453)</f>
        <v>0</v>
      </c>
      <c r="K451" s="38"/>
      <c r="L451" s="8"/>
      <c r="M451" s="76" t="s">
        <v>118</v>
      </c>
      <c r="N451" s="2"/>
      <c r="O451" s="84">
        <f>IF(Choix_pcan="oui",J443*Choix_prixelec,0)</f>
        <v>0</v>
      </c>
      <c r="P451" s="84">
        <f>IF(L76="oui",L443*R41,0)</f>
        <v>0</v>
      </c>
      <c r="Q451" s="9" t="s">
        <v>114</v>
      </c>
      <c r="T451" s="55"/>
      <c r="U451" s="55"/>
      <c r="V451" s="55"/>
      <c r="W451" s="55"/>
      <c r="X451" s="55"/>
      <c r="Y451" s="55"/>
      <c r="Z451" s="55"/>
      <c r="AA451" s="4"/>
      <c r="AB451" s="4"/>
      <c r="AC451" s="4"/>
      <c r="AD451" s="4"/>
      <c r="AE451" s="4"/>
      <c r="AF451" s="4"/>
      <c r="AG451" s="4"/>
      <c r="AH451" s="4"/>
      <c r="AI451" s="4"/>
      <c r="AJ451" s="4"/>
      <c r="AK451" s="4"/>
      <c r="AL451" s="4"/>
      <c r="AM451" s="4"/>
      <c r="AN451" s="4"/>
      <c r="AO451" s="4"/>
      <c r="AP451" s="4"/>
      <c r="AQ451" s="4"/>
      <c r="AR451" s="4"/>
    </row>
    <row r="452" spans="2:44" x14ac:dyDescent="0.25">
      <c r="B452" s="45"/>
      <c r="C452" s="38"/>
      <c r="D452" s="38"/>
      <c r="E452" s="38"/>
      <c r="F452" s="2"/>
      <c r="G452" s="2"/>
      <c r="H452" s="2"/>
      <c r="I452" s="2"/>
      <c r="J452" s="38"/>
      <c r="K452" s="38"/>
      <c r="L452" s="8"/>
      <c r="M452" s="2"/>
      <c r="N452" s="2"/>
      <c r="O452" s="75">
        <f>IF(gain_GAEA="",(Volume*Valeur_n_var1*(Valeur_nWRGeffP_1-Valeur_nwrgeff_1)*Valeur_Cpair*(dju*0.024))*Choix_prix_ch,gain_GAEA*Choix_prix_ch)</f>
        <v>0</v>
      </c>
      <c r="P452" s="75">
        <f>IF(gain_GAEA="",(Volume*Valeur_n_var2*(Valeur_nWRGeffP_2-Valeur_nWRGeff_2)*Valeur_Cpair*(dju*0.024))*Choix_prix_ch,gain_GAEA*Choix_prix_ch)</f>
        <v>0</v>
      </c>
      <c r="Q452" s="9"/>
      <c r="T452" s="55"/>
      <c r="U452" s="55"/>
      <c r="V452" s="55"/>
      <c r="W452" s="55"/>
      <c r="X452" s="55"/>
      <c r="Y452" s="55"/>
      <c r="Z452" s="55"/>
      <c r="AA452" s="4"/>
      <c r="AB452" s="4"/>
      <c r="AC452" s="4"/>
      <c r="AD452" s="4"/>
      <c r="AE452" s="4"/>
      <c r="AF452" s="4"/>
      <c r="AG452" s="4"/>
      <c r="AH452" s="4"/>
      <c r="AI452" s="4"/>
      <c r="AJ452" s="4"/>
      <c r="AK452" s="4"/>
      <c r="AL452" s="4"/>
      <c r="AM452" s="4"/>
      <c r="AN452" s="4"/>
      <c r="AO452" s="4"/>
      <c r="AP452" s="4"/>
      <c r="AQ452" s="4"/>
      <c r="AR452" s="4"/>
    </row>
    <row r="453" spans="2:44" x14ac:dyDescent="0.25">
      <c r="B453" s="45"/>
      <c r="C453" s="38"/>
      <c r="D453" s="38"/>
      <c r="E453" s="38"/>
      <c r="F453" s="76" t="s">
        <v>117</v>
      </c>
      <c r="G453" s="38"/>
      <c r="H453" s="156">
        <f>gain_GAEA</f>
        <v>0</v>
      </c>
      <c r="I453" s="38" t="s">
        <v>15</v>
      </c>
      <c r="J453" s="38"/>
      <c r="K453" s="2"/>
      <c r="L453" s="8"/>
      <c r="M453" s="76" t="s">
        <v>113</v>
      </c>
      <c r="N453" s="2"/>
      <c r="O453" s="84">
        <f>IF(H70="NON",0,O452)</f>
        <v>0</v>
      </c>
      <c r="P453" s="84">
        <f>IF(H70="NON",0,P452)</f>
        <v>0</v>
      </c>
      <c r="Q453" s="9" t="s">
        <v>114</v>
      </c>
      <c r="T453" s="55"/>
      <c r="U453" s="55"/>
      <c r="V453" s="55"/>
      <c r="W453" s="55"/>
      <c r="X453" s="55"/>
      <c r="Y453" s="55"/>
      <c r="Z453" s="55"/>
      <c r="AA453" s="4"/>
      <c r="AB453" s="4"/>
      <c r="AC453" s="4"/>
      <c r="AD453" s="4"/>
      <c r="AE453" s="4"/>
      <c r="AF453" s="4"/>
      <c r="AG453" s="4"/>
      <c r="AH453" s="4"/>
      <c r="AI453" s="4"/>
      <c r="AJ453" s="4"/>
      <c r="AK453" s="4"/>
      <c r="AL453" s="4"/>
      <c r="AM453" s="4"/>
      <c r="AN453" s="4"/>
      <c r="AO453" s="4"/>
      <c r="AP453" s="4"/>
      <c r="AQ453" s="4"/>
      <c r="AR453" s="4"/>
    </row>
    <row r="454" spans="2:44" ht="16.5" thickBot="1" x14ac:dyDescent="0.3">
      <c r="B454" s="45"/>
      <c r="C454" s="2"/>
      <c r="D454" s="2"/>
      <c r="E454" s="2"/>
      <c r="F454" s="43" t="s">
        <v>120</v>
      </c>
      <c r="G454" s="38"/>
      <c r="H454" s="38"/>
      <c r="I454" s="38"/>
      <c r="J454" s="2"/>
      <c r="K454" s="2"/>
      <c r="L454" s="12"/>
      <c r="M454" s="13"/>
      <c r="N454" s="13"/>
      <c r="O454" s="13"/>
      <c r="P454" s="13"/>
      <c r="Q454" s="14"/>
      <c r="T454" s="55"/>
      <c r="U454" s="44"/>
      <c r="V454" s="44"/>
      <c r="W454" s="44"/>
      <c r="X454" s="44"/>
      <c r="Y454" s="4"/>
      <c r="Z454" s="4"/>
      <c r="AA454" s="4"/>
      <c r="AB454" s="4"/>
      <c r="AC454" s="4"/>
      <c r="AD454" s="4"/>
      <c r="AE454" s="4"/>
      <c r="AF454" s="4"/>
      <c r="AG454" s="4"/>
      <c r="AH454" s="4"/>
      <c r="AI454" s="4"/>
      <c r="AJ454" s="4"/>
      <c r="AK454" s="4"/>
      <c r="AL454" s="4"/>
      <c r="AM454" s="4"/>
      <c r="AN454" s="4"/>
      <c r="AO454" s="4"/>
      <c r="AP454" s="4"/>
      <c r="AQ454" s="4"/>
      <c r="AR454" s="4"/>
    </row>
    <row r="455" spans="2:44" ht="16.5" thickBot="1" x14ac:dyDescent="0.3">
      <c r="B455" s="49"/>
      <c r="C455" s="13"/>
      <c r="D455" s="13"/>
      <c r="E455" s="13"/>
      <c r="F455" s="13"/>
      <c r="G455" s="13"/>
      <c r="H455" s="13"/>
      <c r="I455" s="13"/>
      <c r="J455" s="13"/>
      <c r="K455" s="13"/>
      <c r="L455" s="13"/>
      <c r="M455" s="13"/>
      <c r="N455" s="13"/>
      <c r="O455" s="13"/>
      <c r="P455" s="13"/>
      <c r="Q455" s="14"/>
      <c r="T455" s="55"/>
      <c r="U455" s="44"/>
      <c r="V455" s="44"/>
      <c r="W455" s="44"/>
      <c r="X455" s="44"/>
      <c r="Y455" s="4"/>
      <c r="Z455" s="4"/>
      <c r="AA455" s="4"/>
      <c r="AB455" s="4"/>
      <c r="AC455" s="4"/>
      <c r="AD455" s="4"/>
      <c r="AE455" s="4"/>
      <c r="AF455" s="4"/>
      <c r="AG455" s="4"/>
      <c r="AH455" s="4"/>
      <c r="AI455" s="4"/>
      <c r="AJ455" s="4"/>
      <c r="AK455" s="4"/>
      <c r="AL455" s="4"/>
      <c r="AM455" s="4"/>
      <c r="AN455" s="4"/>
      <c r="AO455" s="4"/>
      <c r="AP455" s="4"/>
      <c r="AQ455" s="4"/>
      <c r="AR455" s="4"/>
    </row>
    <row r="456" spans="2:44" x14ac:dyDescent="0.25">
      <c r="B456" s="94" t="s">
        <v>126</v>
      </c>
      <c r="C456" s="97"/>
      <c r="D456" s="6"/>
      <c r="E456" s="6"/>
      <c r="F456" s="23"/>
      <c r="G456" s="6"/>
      <c r="H456" s="6"/>
      <c r="I456" s="6"/>
      <c r="J456" s="6"/>
      <c r="K456" s="6"/>
      <c r="L456" s="24"/>
      <c r="M456" s="6"/>
      <c r="N456" s="6"/>
      <c r="O456" s="6"/>
      <c r="P456" s="6"/>
      <c r="Q456" s="7"/>
      <c r="T456" s="55"/>
      <c r="U456" s="44"/>
      <c r="V456" s="44"/>
      <c r="W456" s="44"/>
      <c r="X456" s="44"/>
      <c r="Y456" s="4"/>
      <c r="Z456" s="4"/>
      <c r="AA456" s="4"/>
      <c r="AB456" s="4"/>
      <c r="AC456" s="4"/>
      <c r="AD456" s="4"/>
      <c r="AE456" s="4"/>
      <c r="AF456" s="4"/>
      <c r="AG456" s="4"/>
      <c r="AH456" s="4"/>
      <c r="AI456" s="4"/>
      <c r="AJ456" s="4"/>
      <c r="AK456" s="4"/>
      <c r="AL456" s="4"/>
      <c r="AM456" s="4"/>
      <c r="AN456" s="4"/>
      <c r="AO456" s="4"/>
      <c r="AP456" s="4"/>
      <c r="AQ456" s="4"/>
      <c r="AR456" s="4"/>
    </row>
    <row r="457" spans="2:44" x14ac:dyDescent="0.25">
      <c r="B457" s="8"/>
      <c r="C457" s="2"/>
      <c r="D457" s="2"/>
      <c r="E457" s="2"/>
      <c r="F457" s="2"/>
      <c r="G457" s="2"/>
      <c r="H457" s="2"/>
      <c r="I457" s="2"/>
      <c r="J457" s="2"/>
      <c r="K457" s="2"/>
      <c r="L457" s="2"/>
      <c r="M457" s="2"/>
      <c r="N457" s="2"/>
      <c r="O457" s="2"/>
      <c r="P457" s="2"/>
      <c r="Q457" s="9"/>
      <c r="T457" s="55"/>
      <c r="U457" s="44"/>
      <c r="V457" s="44"/>
      <c r="W457" s="44"/>
      <c r="X457" s="44"/>
      <c r="Y457" s="4"/>
      <c r="Z457" s="4"/>
      <c r="AA457" s="4"/>
      <c r="AB457" s="4"/>
      <c r="AC457" s="4"/>
      <c r="AD457" s="4"/>
      <c r="AE457" s="4"/>
      <c r="AF457" s="4"/>
      <c r="AG457" s="4"/>
      <c r="AH457" s="4"/>
      <c r="AI457" s="4"/>
      <c r="AJ457" s="4"/>
      <c r="AK457" s="4"/>
      <c r="AL457" s="4"/>
      <c r="AM457" s="4"/>
      <c r="AN457" s="4"/>
      <c r="AO457" s="4"/>
      <c r="AP457" s="4"/>
      <c r="AQ457" s="4"/>
      <c r="AR457" s="4"/>
    </row>
    <row r="458" spans="2:44" x14ac:dyDescent="0.25">
      <c r="B458" s="8"/>
      <c r="C458" s="2"/>
      <c r="D458" s="2"/>
      <c r="E458" s="2"/>
      <c r="F458" s="76" t="s">
        <v>128</v>
      </c>
      <c r="G458" s="2"/>
      <c r="H458" s="2"/>
      <c r="I458" s="2"/>
      <c r="J458" s="2"/>
      <c r="K458" s="2"/>
      <c r="L458" s="15"/>
      <c r="M458" s="2"/>
      <c r="N458" s="2"/>
      <c r="O458" s="2"/>
      <c r="P458" s="93"/>
      <c r="Q458" s="9"/>
      <c r="T458" s="55"/>
      <c r="U458" s="44"/>
      <c r="V458" s="44"/>
      <c r="W458" s="44"/>
      <c r="X458" s="44"/>
      <c r="Y458" s="4"/>
      <c r="Z458" s="4"/>
      <c r="AA458" s="4"/>
      <c r="AB458" s="4"/>
      <c r="AC458" s="4"/>
      <c r="AD458" s="4"/>
      <c r="AE458" s="4"/>
      <c r="AF458" s="4"/>
      <c r="AG458" s="4"/>
      <c r="AH458" s="4"/>
      <c r="AI458" s="4"/>
      <c r="AJ458" s="4"/>
      <c r="AK458" s="4"/>
      <c r="AL458" s="4"/>
      <c r="AM458" s="4"/>
      <c r="AN458" s="4"/>
      <c r="AO458" s="4"/>
      <c r="AP458" s="4"/>
      <c r="AQ458" s="4"/>
      <c r="AR458" s="4"/>
    </row>
    <row r="459" spans="2:44" x14ac:dyDescent="0.25">
      <c r="B459" s="8"/>
      <c r="C459" s="2"/>
      <c r="D459" s="2"/>
      <c r="E459" s="2"/>
      <c r="F459" s="18"/>
      <c r="G459" s="2"/>
      <c r="H459" s="2"/>
      <c r="I459" s="2"/>
      <c r="J459" s="2"/>
      <c r="K459" s="2"/>
      <c r="L459" s="15"/>
      <c r="M459" s="2"/>
      <c r="N459" s="2"/>
      <c r="O459" s="2"/>
      <c r="P459" s="93"/>
      <c r="Q459" s="9"/>
      <c r="T459" s="55"/>
      <c r="U459" s="44"/>
      <c r="V459" s="44"/>
      <c r="W459" s="44"/>
      <c r="X459" s="44"/>
      <c r="Y459" s="4"/>
      <c r="Z459" s="4"/>
      <c r="AA459" s="4"/>
      <c r="AB459" s="4"/>
      <c r="AC459" s="4"/>
      <c r="AD459" s="4"/>
      <c r="AE459" s="4"/>
      <c r="AF459" s="4"/>
      <c r="AG459" s="4"/>
      <c r="AH459" s="4"/>
      <c r="AI459" s="4"/>
      <c r="AJ459" s="4"/>
      <c r="AK459" s="4"/>
      <c r="AL459" s="4"/>
      <c r="AM459" s="4"/>
      <c r="AN459" s="4"/>
      <c r="AO459" s="4"/>
      <c r="AP459" s="4"/>
      <c r="AQ459" s="4"/>
      <c r="AR459" s="4"/>
    </row>
    <row r="460" spans="2:44" x14ac:dyDescent="0.25">
      <c r="B460" s="8"/>
      <c r="C460" s="78" t="s">
        <v>130</v>
      </c>
      <c r="D460" s="319"/>
      <c r="E460" s="319"/>
      <c r="F460" s="78" t="s">
        <v>131</v>
      </c>
      <c r="G460" s="319"/>
      <c r="H460" s="78" t="s">
        <v>133</v>
      </c>
      <c r="I460" s="319"/>
      <c r="J460" s="78" t="s">
        <v>134</v>
      </c>
      <c r="K460" s="2"/>
      <c r="L460" s="2"/>
      <c r="M460" s="76" t="s">
        <v>129</v>
      </c>
      <c r="N460" s="2"/>
      <c r="O460" s="75">
        <f>IF(Choix_pcan="NON",0,Q75*H35)</f>
        <v>0</v>
      </c>
      <c r="P460" s="75">
        <f>IF(Choix_pcan_2="NON",0,Q75*H35)</f>
        <v>0</v>
      </c>
      <c r="Q460" s="100" t="s">
        <v>114</v>
      </c>
      <c r="R460" s="4"/>
      <c r="S460" s="44"/>
      <c r="T460" s="44"/>
      <c r="U460" s="44"/>
      <c r="V460" s="44"/>
      <c r="W460" s="44"/>
      <c r="X460" s="44"/>
      <c r="Y460" s="4"/>
      <c r="Z460" s="4"/>
      <c r="AA460" s="4"/>
      <c r="AB460" s="4"/>
      <c r="AC460" s="4"/>
      <c r="AD460" s="4"/>
      <c r="AE460" s="4"/>
      <c r="AF460" s="4"/>
      <c r="AG460" s="4"/>
      <c r="AH460" s="4"/>
      <c r="AI460" s="4"/>
      <c r="AJ460" s="4"/>
      <c r="AK460" s="4"/>
      <c r="AL460" s="4"/>
      <c r="AM460" s="4"/>
      <c r="AN460" s="4"/>
      <c r="AO460" s="4"/>
      <c r="AP460" s="4"/>
      <c r="AQ460" s="4"/>
      <c r="AR460" s="4"/>
    </row>
    <row r="461" spans="2:44" x14ac:dyDescent="0.25">
      <c r="B461" s="8"/>
      <c r="C461" s="21" t="s">
        <v>70</v>
      </c>
      <c r="D461" s="21"/>
      <c r="E461" s="2"/>
      <c r="F461" s="21" t="s">
        <v>132</v>
      </c>
      <c r="G461" s="2"/>
      <c r="H461" s="21" t="s">
        <v>44</v>
      </c>
      <c r="I461" s="2"/>
      <c r="J461" s="21" t="s">
        <v>103</v>
      </c>
      <c r="K461" s="2"/>
      <c r="L461" s="2"/>
      <c r="M461" s="15"/>
      <c r="N461" s="2"/>
      <c r="O461" s="2"/>
      <c r="P461" s="2"/>
      <c r="Q461" s="100"/>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row>
    <row r="462" spans="2:44" x14ac:dyDescent="0.25">
      <c r="B462" s="8"/>
      <c r="C462" s="75">
        <f>SUMPRODUCT(('Base données'!P85:P90=H33)*('Base données'!Q85:Q90))</f>
        <v>1</v>
      </c>
      <c r="D462" s="21"/>
      <c r="E462" s="319"/>
      <c r="F462" s="75">
        <v>200</v>
      </c>
      <c r="G462" s="2"/>
      <c r="H462" s="75">
        <f>C462*H22</f>
        <v>347.5</v>
      </c>
      <c r="I462" s="2"/>
      <c r="J462" s="75">
        <f>J112*H462-H399*J399</f>
        <v>65.974999999999994</v>
      </c>
      <c r="K462" s="2"/>
      <c r="L462" s="2"/>
      <c r="M462" s="76" t="s">
        <v>144</v>
      </c>
      <c r="N462" s="2"/>
      <c r="O462" s="84">
        <f>IF(Choix_pcan="NON",0,J462/1000*F462)</f>
        <v>0</v>
      </c>
      <c r="P462" s="84">
        <f>IF(Choix_pcan_2="NON",0,J462/1000*F462)</f>
        <v>0</v>
      </c>
      <c r="Q462" s="100" t="s">
        <v>114</v>
      </c>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row>
    <row r="463" spans="2:44" x14ac:dyDescent="0.25">
      <c r="B463" s="8"/>
      <c r="C463" s="2"/>
      <c r="D463" s="2"/>
      <c r="E463" s="2"/>
      <c r="F463" s="22">
        <f>F462/24</f>
        <v>8.3333333333333339</v>
      </c>
      <c r="G463" s="2"/>
      <c r="H463" s="2"/>
      <c r="I463" s="2"/>
      <c r="J463" s="22">
        <f>J462*F462/1000</f>
        <v>13.194999999999999</v>
      </c>
      <c r="K463" s="2"/>
      <c r="L463" s="2"/>
      <c r="M463" s="15"/>
      <c r="N463" s="2"/>
      <c r="O463" s="2"/>
      <c r="P463" s="2"/>
      <c r="Q463" s="100"/>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row>
    <row r="464" spans="2:44" x14ac:dyDescent="0.25">
      <c r="B464" s="8"/>
      <c r="C464" s="2"/>
      <c r="D464" s="2"/>
      <c r="E464" s="2"/>
      <c r="F464" s="18"/>
      <c r="G464" s="2"/>
      <c r="H464" s="2"/>
      <c r="I464" s="2"/>
      <c r="J464" s="2"/>
      <c r="K464" s="2"/>
      <c r="L464" s="2"/>
      <c r="M464" s="76" t="s">
        <v>145</v>
      </c>
      <c r="N464" s="2"/>
      <c r="O464" s="84">
        <f>O451+O453+O460-O462</f>
        <v>0</v>
      </c>
      <c r="P464" s="84">
        <f>P451+P453+P460-P462</f>
        <v>0</v>
      </c>
      <c r="Q464" s="100" t="s">
        <v>114</v>
      </c>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row>
    <row r="465" spans="2:44" x14ac:dyDescent="0.25">
      <c r="B465" s="8"/>
      <c r="C465" s="2"/>
      <c r="D465" s="2"/>
      <c r="E465" s="2"/>
      <c r="F465" s="18"/>
      <c r="G465" s="2"/>
      <c r="H465" s="2"/>
      <c r="I465" s="2"/>
      <c r="J465" s="2"/>
      <c r="K465" s="2"/>
      <c r="L465" s="15"/>
      <c r="M465" s="2"/>
      <c r="N465" s="2"/>
      <c r="O465" s="2"/>
      <c r="P465" s="93"/>
      <c r="Q465" s="9"/>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row>
    <row r="466" spans="2:44" x14ac:dyDescent="0.25">
      <c r="B466" s="8"/>
      <c r="C466" s="2"/>
      <c r="D466" s="2"/>
      <c r="E466" s="2"/>
      <c r="F466" s="18"/>
      <c r="G466" s="2"/>
      <c r="H466" s="2"/>
      <c r="I466" s="2"/>
      <c r="J466" s="2"/>
      <c r="K466" s="2"/>
      <c r="L466" s="2"/>
      <c r="M466" s="2"/>
      <c r="N466" s="2"/>
      <c r="O466" s="78" t="s">
        <v>41</v>
      </c>
      <c r="P466" s="93"/>
      <c r="Q466" s="9"/>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row>
    <row r="467" spans="2:44" x14ac:dyDescent="0.25">
      <c r="B467" s="8"/>
      <c r="C467" s="2"/>
      <c r="D467" s="2"/>
      <c r="E467" s="2"/>
      <c r="F467" s="18"/>
      <c r="G467" s="2"/>
      <c r="H467" s="2"/>
      <c r="I467" s="2"/>
      <c r="J467" s="76" t="s">
        <v>135</v>
      </c>
      <c r="K467" s="2"/>
      <c r="L467" s="75">
        <v>2000</v>
      </c>
      <c r="M467" s="2"/>
      <c r="N467" s="2" t="s">
        <v>14</v>
      </c>
      <c r="O467" s="75">
        <f>IF(Choix_pcan="NON",0,L467/O464)</f>
        <v>0</v>
      </c>
      <c r="P467" s="93" t="s">
        <v>42</v>
      </c>
      <c r="Q467" s="9"/>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row>
    <row r="468" spans="2:44" x14ac:dyDescent="0.25">
      <c r="B468" s="8"/>
      <c r="C468" s="2"/>
      <c r="D468" s="2"/>
      <c r="E468" s="2"/>
      <c r="F468" s="18"/>
      <c r="G468" s="2"/>
      <c r="H468" s="2"/>
      <c r="I468" s="2"/>
      <c r="J468" s="2"/>
      <c r="K468" s="2"/>
      <c r="L468" s="15"/>
      <c r="M468" s="2"/>
      <c r="N468" s="2"/>
      <c r="O468" s="78" t="s">
        <v>98</v>
      </c>
      <c r="P468" s="93"/>
      <c r="Q468" s="9"/>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row>
    <row r="469" spans="2:44" x14ac:dyDescent="0.25">
      <c r="B469" s="8"/>
      <c r="C469" s="2"/>
      <c r="D469" s="2"/>
      <c r="E469" s="2"/>
      <c r="F469" s="2"/>
      <c r="G469" s="2"/>
      <c r="H469" s="2"/>
      <c r="I469" s="2"/>
      <c r="J469" s="76" t="s">
        <v>137</v>
      </c>
      <c r="K469" s="2"/>
      <c r="L469" s="75">
        <f>L467</f>
        <v>2000</v>
      </c>
      <c r="M469" s="2"/>
      <c r="N469" s="2" t="s">
        <v>14</v>
      </c>
      <c r="O469" s="75">
        <f>(H451+M75)/J463</f>
        <v>0</v>
      </c>
      <c r="P469" s="93"/>
      <c r="Q469" s="9"/>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row>
    <row r="470" spans="2:44" x14ac:dyDescent="0.25">
      <c r="B470" s="8"/>
      <c r="C470" s="2"/>
      <c r="D470" s="2"/>
      <c r="E470" s="2"/>
      <c r="F470" s="2"/>
      <c r="G470" s="2"/>
      <c r="H470" s="2"/>
      <c r="I470" s="2"/>
      <c r="J470" s="2"/>
      <c r="K470" s="2"/>
      <c r="L470" s="2"/>
      <c r="M470" s="2"/>
      <c r="N470" s="2"/>
      <c r="O470" s="2"/>
      <c r="P470" s="93"/>
      <c r="Q470" s="9"/>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row>
    <row r="471" spans="2:44" x14ac:dyDescent="0.25">
      <c r="B471" s="8"/>
      <c r="C471" s="16" t="s">
        <v>141</v>
      </c>
      <c r="D471" s="16"/>
      <c r="E471" s="16"/>
      <c r="F471" s="16" t="s">
        <v>142</v>
      </c>
      <c r="G471" s="16"/>
      <c r="H471" s="16" t="s">
        <v>143</v>
      </c>
      <c r="I471" s="2"/>
      <c r="J471" s="2"/>
      <c r="K471" s="2"/>
      <c r="L471" s="2"/>
      <c r="M471" s="2"/>
      <c r="N471" s="2"/>
      <c r="O471" s="78" t="s">
        <v>41</v>
      </c>
      <c r="P471" s="93"/>
      <c r="Q471" s="9"/>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row>
    <row r="472" spans="2:44" x14ac:dyDescent="0.25">
      <c r="B472" s="8"/>
      <c r="C472" s="25">
        <f>O399</f>
        <v>304.84800000000001</v>
      </c>
      <c r="D472" s="25"/>
      <c r="E472" s="16"/>
      <c r="F472" s="26">
        <f>J463</f>
        <v>13.194999999999999</v>
      </c>
      <c r="G472" s="16"/>
      <c r="H472" s="27">
        <f>J443</f>
        <v>88.471440000000001</v>
      </c>
      <c r="I472" s="2"/>
      <c r="J472" s="2"/>
      <c r="K472" s="2"/>
      <c r="L472" s="2"/>
      <c r="M472" s="2"/>
      <c r="N472" s="2" t="s">
        <v>14</v>
      </c>
      <c r="O472" s="75">
        <f>IF(Choix_pcan="NON",0,(L469+O413)/O464)</f>
        <v>0</v>
      </c>
      <c r="P472" s="93" t="s">
        <v>42</v>
      </c>
      <c r="Q472" s="9"/>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row>
    <row r="473" spans="2:44" x14ac:dyDescent="0.25">
      <c r="B473" s="8"/>
      <c r="C473" s="16"/>
      <c r="D473" s="16"/>
      <c r="E473" s="16"/>
      <c r="F473" s="16"/>
      <c r="G473" s="16"/>
      <c r="H473" s="25">
        <f>SUM(C472:H472)</f>
        <v>406.51444000000004</v>
      </c>
      <c r="I473" s="2"/>
      <c r="J473" s="2"/>
      <c r="K473" s="2"/>
      <c r="L473" s="2"/>
      <c r="M473" s="2"/>
      <c r="N473" s="2"/>
      <c r="O473" s="2"/>
      <c r="P473" s="2"/>
      <c r="Q473" s="9"/>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row>
    <row r="474" spans="2:44" x14ac:dyDescent="0.25">
      <c r="B474" s="8"/>
      <c r="C474" s="16" t="s">
        <v>138</v>
      </c>
      <c r="D474" s="16"/>
      <c r="E474" s="16"/>
      <c r="F474" s="16" t="s">
        <v>139</v>
      </c>
      <c r="G474" s="16"/>
      <c r="H474" s="16" t="s">
        <v>140</v>
      </c>
      <c r="I474" s="2"/>
      <c r="J474" s="2"/>
      <c r="K474" s="2"/>
      <c r="L474" s="2"/>
      <c r="M474" s="2"/>
      <c r="N474" s="2"/>
      <c r="O474" s="78" t="s">
        <v>136</v>
      </c>
      <c r="P474" s="2"/>
      <c r="Q474" s="9"/>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row>
    <row r="475" spans="2:44" x14ac:dyDescent="0.25">
      <c r="B475" s="8"/>
      <c r="C475" s="25">
        <f>O392</f>
        <v>2082.6408959999999</v>
      </c>
      <c r="D475" s="25"/>
      <c r="E475" s="16"/>
      <c r="F475" s="26">
        <f>H451</f>
        <v>0</v>
      </c>
      <c r="G475" s="16"/>
      <c r="H475" s="27">
        <f>M75</f>
        <v>0</v>
      </c>
      <c r="I475" s="2"/>
      <c r="J475" s="2"/>
      <c r="K475" s="2"/>
      <c r="L475" s="2"/>
      <c r="M475" s="2"/>
      <c r="N475" s="2" t="s">
        <v>14</v>
      </c>
      <c r="O475" s="75">
        <f>H476/H473</f>
        <v>5.1231658486719427</v>
      </c>
      <c r="P475" s="2"/>
      <c r="Q475" s="9"/>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row>
    <row r="476" spans="2:44" ht="16.5" thickBot="1" x14ac:dyDescent="0.3">
      <c r="B476" s="12"/>
      <c r="C476" s="28"/>
      <c r="D476" s="28"/>
      <c r="E476" s="28"/>
      <c r="F476" s="28"/>
      <c r="G476" s="28"/>
      <c r="H476" s="29">
        <f>SUM(C475:H475)</f>
        <v>2082.6408959999999</v>
      </c>
      <c r="I476" s="13"/>
      <c r="J476" s="13"/>
      <c r="K476" s="13"/>
      <c r="L476" s="13"/>
      <c r="M476" s="13"/>
      <c r="N476" s="13"/>
      <c r="O476" s="13"/>
      <c r="P476" s="13"/>
      <c r="Q476" s="1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row>
    <row r="477" spans="2:44" x14ac:dyDescent="0.25">
      <c r="B477" s="2"/>
      <c r="C477" s="2"/>
      <c r="D477" s="2"/>
      <c r="E477" s="2"/>
      <c r="F477" s="2"/>
      <c r="G477" s="2"/>
      <c r="H477" s="2"/>
      <c r="I477" s="2"/>
      <c r="J477" s="2"/>
      <c r="K477" s="2"/>
      <c r="L477" s="2"/>
      <c r="M477" s="2"/>
      <c r="N477" s="2"/>
      <c r="O477" s="2"/>
      <c r="P477" s="2"/>
      <c r="Q477" s="2"/>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row>
    <row r="478" spans="2:44" ht="16.5" thickBot="1" x14ac:dyDescent="0.3">
      <c r="B478" s="188"/>
      <c r="C478" s="85"/>
      <c r="D478" s="85"/>
      <c r="E478" s="85"/>
      <c r="F478" s="85"/>
      <c r="G478" s="85"/>
      <c r="H478" s="85"/>
      <c r="I478" s="85"/>
      <c r="J478" s="85"/>
      <c r="K478" s="85"/>
      <c r="L478" s="13"/>
      <c r="M478" s="2"/>
      <c r="N478" s="2"/>
      <c r="O478" s="2"/>
      <c r="P478" s="2"/>
      <c r="Q478" s="2"/>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row>
    <row r="479" spans="2:44" ht="46.5" x14ac:dyDescent="0.7">
      <c r="B479" s="510" t="s">
        <v>264</v>
      </c>
      <c r="C479" s="511"/>
      <c r="D479" s="511"/>
      <c r="E479" s="511"/>
      <c r="F479" s="511"/>
      <c r="G479" s="511"/>
      <c r="H479" s="511"/>
      <c r="I479" s="511"/>
      <c r="J479" s="511"/>
      <c r="K479" s="511"/>
      <c r="L479" s="511"/>
      <c r="M479" s="511"/>
      <c r="N479" s="511"/>
      <c r="O479" s="511"/>
      <c r="P479" s="511"/>
      <c r="Q479" s="512"/>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row>
    <row r="480" spans="2:44" ht="35.25" customHeight="1" x14ac:dyDescent="0.25">
      <c r="B480" s="507"/>
      <c r="C480" s="500"/>
      <c r="D480" s="499"/>
      <c r="E480" s="500"/>
      <c r="F480" s="501"/>
      <c r="G480" s="500"/>
      <c r="H480" s="502" t="s">
        <v>654</v>
      </c>
      <c r="I480" s="2"/>
      <c r="J480" s="500"/>
      <c r="K480" s="500"/>
      <c r="L480" s="500"/>
      <c r="M480" s="500"/>
      <c r="N480" s="499"/>
      <c r="O480" s="499"/>
      <c r="P480" s="499"/>
      <c r="Q480" s="503"/>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row>
    <row r="481" spans="2:44" x14ac:dyDescent="0.25">
      <c r="B481" s="8"/>
      <c r="C481" s="74"/>
      <c r="D481" s="74" t="s">
        <v>658</v>
      </c>
      <c r="E481" s="156" t="s">
        <v>657</v>
      </c>
      <c r="F481" s="501"/>
      <c r="G481" s="74" t="s">
        <v>660</v>
      </c>
      <c r="H481" s="156">
        <v>30</v>
      </c>
      <c r="I481" s="71" t="s">
        <v>655</v>
      </c>
      <c r="J481" s="500"/>
      <c r="K481" s="2"/>
      <c r="L481" s="74" t="s">
        <v>659</v>
      </c>
      <c r="M481" s="156">
        <v>18</v>
      </c>
      <c r="N481" s="71" t="s">
        <v>656</v>
      </c>
      <c r="O481" s="499"/>
      <c r="P481" s="499"/>
      <c r="Q481" s="503"/>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row>
    <row r="482" spans="2:44" ht="34.5" customHeight="1" x14ac:dyDescent="0.25">
      <c r="B482" s="507"/>
      <c r="C482" s="500"/>
      <c r="D482" s="499"/>
      <c r="E482" s="500"/>
      <c r="F482" s="501"/>
      <c r="G482" s="500"/>
      <c r="H482" s="499"/>
      <c r="I482" s="2"/>
      <c r="J482" s="500"/>
      <c r="K482" s="500"/>
      <c r="L482" s="500"/>
      <c r="M482" s="500"/>
      <c r="N482" s="499"/>
      <c r="O482" s="499"/>
      <c r="P482" s="499"/>
      <c r="Q482" s="503"/>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row>
    <row r="483" spans="2:44" x14ac:dyDescent="0.25">
      <c r="B483" s="70"/>
      <c r="C483" s="2"/>
      <c r="D483" s="74"/>
      <c r="E483" s="72" t="s">
        <v>251</v>
      </c>
      <c r="F483" s="71"/>
      <c r="G483" s="72" t="s">
        <v>252</v>
      </c>
      <c r="H483" s="72"/>
      <c r="I483" s="2"/>
      <c r="J483" s="2"/>
      <c r="K483" s="2"/>
      <c r="L483" s="2"/>
      <c r="M483" s="87"/>
      <c r="N483" s="71"/>
      <c r="O483" s="2"/>
      <c r="P483" s="87"/>
      <c r="Q483" s="73"/>
      <c r="R483" s="44"/>
      <c r="S483" s="44"/>
      <c r="T483" s="4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row>
    <row r="484" spans="2:44" x14ac:dyDescent="0.25">
      <c r="B484" s="490" t="s">
        <v>650</v>
      </c>
      <c r="C484" s="2"/>
      <c r="D484" s="2"/>
      <c r="E484" s="2"/>
      <c r="F484" s="2"/>
      <c r="G484" s="2"/>
      <c r="H484" s="2"/>
      <c r="I484" s="2"/>
      <c r="J484" s="2"/>
      <c r="K484" s="2"/>
      <c r="L484" s="2"/>
      <c r="M484" s="2"/>
      <c r="N484" s="2"/>
      <c r="O484" s="2"/>
      <c r="P484" s="2"/>
      <c r="Q484" s="9"/>
      <c r="R484" s="44"/>
      <c r="S484" s="44"/>
      <c r="T484" s="4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row>
    <row r="485" spans="2:44" hidden="1" x14ac:dyDescent="0.25">
      <c r="B485" s="8"/>
      <c r="C485" s="2"/>
      <c r="D485" s="74" t="s">
        <v>637</v>
      </c>
      <c r="E485" s="75">
        <f>Volume</f>
        <v>347.5</v>
      </c>
      <c r="F485" s="71" t="s">
        <v>638</v>
      </c>
      <c r="G485" s="75">
        <v>0.3</v>
      </c>
      <c r="H485" s="491" t="s">
        <v>639</v>
      </c>
      <c r="I485" s="2"/>
      <c r="J485" s="2"/>
      <c r="K485" s="2"/>
      <c r="L485" s="2"/>
      <c r="M485" s="75">
        <f>E485*G485</f>
        <v>104.25</v>
      </c>
      <c r="N485" s="71" t="s">
        <v>255</v>
      </c>
      <c r="O485" s="2"/>
      <c r="P485" s="489">
        <f>IF(ISNUMBER(M485),M485,"")</f>
        <v>104.25</v>
      </c>
      <c r="Q485" s="73" t="s">
        <v>255</v>
      </c>
      <c r="R485" s="44"/>
      <c r="S485" s="44"/>
      <c r="T485" s="4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row>
    <row r="486" spans="2:44" x14ac:dyDescent="0.25">
      <c r="B486" s="70"/>
      <c r="C486" s="2"/>
      <c r="D486" s="74" t="s">
        <v>253</v>
      </c>
      <c r="E486" s="156">
        <v>30</v>
      </c>
      <c r="F486" s="71" t="s">
        <v>254</v>
      </c>
      <c r="G486" s="89">
        <f>Choix_habitants</f>
        <v>4</v>
      </c>
      <c r="H486" s="72" t="s">
        <v>14</v>
      </c>
      <c r="I486" s="2"/>
      <c r="J486" s="2"/>
      <c r="K486" s="2"/>
      <c r="L486" s="2"/>
      <c r="M486" s="75">
        <f>IF(ISNUMBER(G486),E486*G486,"")</f>
        <v>120</v>
      </c>
      <c r="N486" s="71" t="s">
        <v>255</v>
      </c>
      <c r="O486" s="2"/>
      <c r="P486" s="489">
        <f>IF(ISNUMBER(M486),M486,"")</f>
        <v>120</v>
      </c>
      <c r="Q486" s="73" t="s">
        <v>255</v>
      </c>
      <c r="R486" s="44"/>
      <c r="S486" s="44"/>
      <c r="T486" s="4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row>
    <row r="487" spans="2:44" x14ac:dyDescent="0.25">
      <c r="B487" s="70"/>
      <c r="C487" s="2"/>
      <c r="D487" s="71"/>
      <c r="E487" s="71"/>
      <c r="F487" s="71"/>
      <c r="G487" s="71"/>
      <c r="H487" s="71"/>
      <c r="I487" s="2"/>
      <c r="J487" s="2"/>
      <c r="K487" s="2"/>
      <c r="L487" s="2"/>
      <c r="M487" s="71"/>
      <c r="N487" s="71"/>
      <c r="O487" s="2"/>
      <c r="P487" s="71"/>
      <c r="Q487" s="73"/>
      <c r="R487" s="44"/>
      <c r="S487" s="44"/>
      <c r="T487" s="4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row>
    <row r="488" spans="2:44" x14ac:dyDescent="0.25">
      <c r="B488" s="490" t="s">
        <v>649</v>
      </c>
      <c r="C488" s="2"/>
      <c r="D488" s="2"/>
      <c r="E488" s="2"/>
      <c r="F488" s="2"/>
      <c r="G488" s="2"/>
      <c r="H488" s="2"/>
      <c r="I488" s="2"/>
      <c r="J488" s="16"/>
      <c r="K488" s="16"/>
      <c r="L488" s="16"/>
      <c r="M488" s="2"/>
      <c r="N488" s="2"/>
      <c r="O488" s="2"/>
      <c r="P488" s="2"/>
      <c r="Q488" s="9"/>
      <c r="R488" s="44"/>
      <c r="S488" s="44"/>
      <c r="T488" s="44"/>
    </row>
    <row r="489" spans="2:44" x14ac:dyDescent="0.25">
      <c r="B489" s="8"/>
      <c r="C489" s="2"/>
      <c r="D489" s="76" t="s">
        <v>641</v>
      </c>
      <c r="E489" s="156">
        <f>G486*M481*G489</f>
        <v>72</v>
      </c>
      <c r="F489" s="71" t="s">
        <v>254</v>
      </c>
      <c r="G489" s="150">
        <f>Nb_cuisine</f>
        <v>1</v>
      </c>
      <c r="H489" s="491" t="s">
        <v>644</v>
      </c>
      <c r="I489" s="2"/>
      <c r="J489" s="16"/>
      <c r="K489" s="16"/>
      <c r="L489" s="16"/>
      <c r="M489" s="2"/>
      <c r="N489" s="2"/>
      <c r="O489" s="2"/>
      <c r="P489" s="2"/>
      <c r="Q489" s="9"/>
      <c r="R489" s="44"/>
      <c r="S489" s="44"/>
      <c r="T489" s="44"/>
    </row>
    <row r="490" spans="2:44" x14ac:dyDescent="0.25">
      <c r="B490" s="8"/>
      <c r="C490" s="2"/>
      <c r="D490" s="76" t="s">
        <v>640</v>
      </c>
      <c r="E490" s="156">
        <f>M481*2*G490</f>
        <v>36</v>
      </c>
      <c r="F490" s="71" t="s">
        <v>254</v>
      </c>
      <c r="G490" s="150">
        <f>Nb_sdb</f>
        <v>1</v>
      </c>
      <c r="H490" s="72"/>
      <c r="I490" s="2"/>
      <c r="J490" s="16">
        <v>16</v>
      </c>
      <c r="K490" s="16"/>
      <c r="L490" s="16"/>
      <c r="M490" s="2"/>
      <c r="N490" s="2"/>
      <c r="O490" s="2"/>
      <c r="P490" s="2"/>
      <c r="Q490" s="9"/>
      <c r="R490" s="44"/>
      <c r="S490" s="44"/>
      <c r="T490" s="44"/>
    </row>
    <row r="491" spans="2:44" x14ac:dyDescent="0.25">
      <c r="B491" s="8"/>
      <c r="C491" s="2"/>
      <c r="D491" s="76" t="s">
        <v>661</v>
      </c>
      <c r="E491" s="156">
        <f>M$481*G491</f>
        <v>18</v>
      </c>
      <c r="F491" s="71" t="s">
        <v>254</v>
      </c>
      <c r="G491" s="150">
        <v>1</v>
      </c>
      <c r="H491" s="72"/>
      <c r="I491" s="2"/>
      <c r="J491" s="16">
        <v>16.45</v>
      </c>
      <c r="K491" s="16"/>
      <c r="L491" s="16"/>
      <c r="M491" s="2"/>
      <c r="N491" s="2"/>
      <c r="O491" s="2"/>
      <c r="P491" s="2"/>
      <c r="Q491" s="9"/>
      <c r="R491" s="44"/>
      <c r="S491" s="44"/>
      <c r="T491" s="44"/>
    </row>
    <row r="492" spans="2:44" x14ac:dyDescent="0.25">
      <c r="B492" s="8"/>
      <c r="C492" s="2"/>
      <c r="D492" s="76" t="s">
        <v>662</v>
      </c>
      <c r="E492" s="156">
        <f>M$481*G492</f>
        <v>18</v>
      </c>
      <c r="F492" s="71" t="s">
        <v>254</v>
      </c>
      <c r="G492" s="150">
        <v>1</v>
      </c>
      <c r="H492" s="72"/>
      <c r="I492" s="2"/>
      <c r="J492" s="16">
        <v>11.04</v>
      </c>
      <c r="K492" s="16"/>
      <c r="L492" s="16"/>
      <c r="M492" s="2"/>
      <c r="N492" s="2"/>
      <c r="O492" s="2"/>
      <c r="P492" s="489">
        <f>SUM(E489:E494)</f>
        <v>144</v>
      </c>
      <c r="Q492" s="73" t="s">
        <v>255</v>
      </c>
      <c r="R492" s="44"/>
      <c r="S492" s="44"/>
      <c r="T492" s="44"/>
    </row>
    <row r="493" spans="2:44" x14ac:dyDescent="0.25">
      <c r="B493" s="8"/>
      <c r="C493" s="2"/>
      <c r="D493" s="76" t="s">
        <v>40</v>
      </c>
      <c r="E493" s="156">
        <f>M$481*G493</f>
        <v>0</v>
      </c>
      <c r="F493" s="71" t="s">
        <v>254</v>
      </c>
      <c r="G493" s="150">
        <v>0</v>
      </c>
      <c r="H493" s="2"/>
      <c r="I493" s="2"/>
      <c r="J493" s="16">
        <f>G$489*L493</f>
        <v>0</v>
      </c>
      <c r="K493" s="16"/>
      <c r="L493" s="16"/>
      <c r="M493" s="2"/>
      <c r="N493" s="2"/>
      <c r="O493" s="2"/>
      <c r="P493" s="2"/>
      <c r="Q493" s="9"/>
      <c r="R493" s="44"/>
      <c r="S493" s="44"/>
      <c r="T493" s="44"/>
    </row>
    <row r="494" spans="2:44" x14ac:dyDescent="0.25">
      <c r="B494" s="8"/>
      <c r="C494" s="2"/>
      <c r="D494" s="76" t="s">
        <v>40</v>
      </c>
      <c r="E494" s="156">
        <f>M$481*G494</f>
        <v>0</v>
      </c>
      <c r="F494" s="71" t="s">
        <v>254</v>
      </c>
      <c r="G494" s="150">
        <v>0</v>
      </c>
      <c r="H494" s="2"/>
      <c r="I494" s="2"/>
      <c r="J494" s="16">
        <f>G$489*L494</f>
        <v>0</v>
      </c>
      <c r="K494" s="16"/>
      <c r="L494" s="16"/>
      <c r="M494" s="2"/>
      <c r="N494" s="2"/>
      <c r="O494" s="2"/>
      <c r="P494" s="2"/>
      <c r="Q494" s="9"/>
      <c r="R494" s="44"/>
      <c r="S494" s="44"/>
      <c r="T494" s="44"/>
    </row>
    <row r="495" spans="2:44" x14ac:dyDescent="0.25">
      <c r="B495" s="8"/>
      <c r="C495" s="2"/>
      <c r="D495" s="76"/>
      <c r="E495" s="192"/>
      <c r="F495" s="71"/>
      <c r="G495" s="2"/>
      <c r="H495" s="2"/>
      <c r="I495" s="2"/>
      <c r="J495" s="16"/>
      <c r="K495" s="16"/>
      <c r="L495" s="16"/>
      <c r="M495" s="2"/>
      <c r="N495" s="2"/>
      <c r="O495" s="2"/>
      <c r="P495" s="492"/>
      <c r="Q495" s="73"/>
      <c r="T495" s="55"/>
    </row>
    <row r="496" spans="2:44" x14ac:dyDescent="0.25">
      <c r="B496" s="490" t="s">
        <v>648</v>
      </c>
      <c r="C496" s="2"/>
      <c r="D496" s="2"/>
      <c r="E496" s="71"/>
      <c r="F496" s="71"/>
      <c r="G496" s="71"/>
      <c r="H496" s="71"/>
      <c r="I496" s="2"/>
      <c r="J496" s="2"/>
      <c r="K496" s="2"/>
      <c r="L496" s="2"/>
      <c r="M496" s="78" t="s">
        <v>257</v>
      </c>
      <c r="N496" s="71"/>
      <c r="O496" s="2"/>
      <c r="P496" s="71"/>
      <c r="Q496" s="73"/>
      <c r="R496" s="55">
        <f>IF(ISNA(VLOOKUP(Choix_piecesp,Zone_nbpieces,1,0)),"",VLOOKUP(Choix_piecesp,Zone_nbpieces,2,0))</f>
        <v>120</v>
      </c>
      <c r="T496" s="55"/>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row>
    <row r="497" spans="2:27" x14ac:dyDescent="0.25">
      <c r="B497" s="70"/>
      <c r="C497" s="2"/>
      <c r="D497" s="76" t="str">
        <f>M19</f>
        <v>Cuisine</v>
      </c>
      <c r="E497" s="156">
        <f>R497</f>
        <v>45</v>
      </c>
      <c r="F497" s="71" t="s">
        <v>254</v>
      </c>
      <c r="G497" s="89">
        <f>Nb_cuisine</f>
        <v>1</v>
      </c>
      <c r="H497" s="72" t="s">
        <v>14</v>
      </c>
      <c r="I497" s="2"/>
      <c r="J497" s="2"/>
      <c r="K497" s="2"/>
      <c r="L497" s="2"/>
      <c r="M497" s="75">
        <f>IF(ISNUMBER(G497),E497*G497,"")</f>
        <v>45</v>
      </c>
      <c r="N497" s="71" t="s">
        <v>255</v>
      </c>
      <c r="O497" s="2"/>
      <c r="P497" s="488">
        <f>G497*R496</f>
        <v>120</v>
      </c>
      <c r="Q497" s="73"/>
      <c r="R497" s="55">
        <f>IF(ISNA(VLOOKUP(Choix_piecesp,Zone_nbpieces,3,0)),"",VLOOKUP(Choix_piecesp,Zone_nbpieces,3,0))</f>
        <v>45</v>
      </c>
      <c r="T497" s="55"/>
    </row>
    <row r="498" spans="2:27" x14ac:dyDescent="0.25">
      <c r="B498" s="70"/>
      <c r="C498" s="2"/>
      <c r="D498" s="76" t="str">
        <f>M20</f>
        <v>Salles de bains</v>
      </c>
      <c r="E498" s="156">
        <f>R498</f>
        <v>30</v>
      </c>
      <c r="F498" s="71" t="s">
        <v>254</v>
      </c>
      <c r="G498" s="89">
        <f>Nb_sdb</f>
        <v>1</v>
      </c>
      <c r="H498" s="72" t="s">
        <v>14</v>
      </c>
      <c r="I498" s="2"/>
      <c r="J498" s="2"/>
      <c r="K498" s="2"/>
      <c r="L498" s="2"/>
      <c r="M498" s="75">
        <f>IF(ISNUMBER(G498),E498*G498,"")</f>
        <v>30</v>
      </c>
      <c r="N498" s="71" t="s">
        <v>255</v>
      </c>
      <c r="O498" s="74"/>
      <c r="P498" s="489">
        <f>SUM(M497:M500)</f>
        <v>120</v>
      </c>
      <c r="Q498" s="73" t="s">
        <v>642</v>
      </c>
      <c r="R498" s="55">
        <f>IF(ISNA(VLOOKUP(Choix_piecesp,Zone_nbpieces,4,0)),"",VLOOKUP(Choix_piecesp,Zone_nbpieces,4,0))</f>
        <v>30</v>
      </c>
      <c r="T498" s="55"/>
    </row>
    <row r="499" spans="2:27" x14ac:dyDescent="0.25">
      <c r="B499" s="70"/>
      <c r="C499" s="2"/>
      <c r="D499" s="76" t="str">
        <f>M21</f>
        <v>WC unique*</v>
      </c>
      <c r="E499" s="156">
        <f>R499</f>
        <v>30</v>
      </c>
      <c r="F499" s="71" t="s">
        <v>254</v>
      </c>
      <c r="G499" s="89">
        <f>Nb_WC_unique</f>
        <v>1</v>
      </c>
      <c r="H499" s="72" t="s">
        <v>14</v>
      </c>
      <c r="I499" s="2"/>
      <c r="J499" s="2"/>
      <c r="K499" s="2"/>
      <c r="L499" s="2"/>
      <c r="M499" s="75">
        <f>IF(ISNUMBER(G499),E499*G499,"")</f>
        <v>30</v>
      </c>
      <c r="N499" s="71" t="s">
        <v>255</v>
      </c>
      <c r="O499" s="74"/>
      <c r="P499" s="489">
        <f>SUM(M498:M500)+P497</f>
        <v>195</v>
      </c>
      <c r="Q499" s="73" t="s">
        <v>643</v>
      </c>
      <c r="R499" s="55">
        <f>IF(ISNA(VLOOKUP(Choix_piecesp,Zone_nbpieces,5,0)),"",VLOOKUP(Choix_piecesp,Zone_nbpieces,5,0))</f>
        <v>30</v>
      </c>
      <c r="T499" s="55"/>
      <c r="V499" s="74" t="s">
        <v>258</v>
      </c>
      <c r="W499" s="109">
        <f>IF(D502="x",Y515,Y514)</f>
        <v>0.78916666666666668</v>
      </c>
      <c r="X499" s="73" t="s">
        <v>204</v>
      </c>
    </row>
    <row r="500" spans="2:27" ht="18" x14ac:dyDescent="0.25">
      <c r="B500" s="70"/>
      <c r="C500" s="2"/>
      <c r="D500" s="76" t="str">
        <f>M22</f>
        <v>WC si plusieurs, celliers, lingeries, etc…</v>
      </c>
      <c r="E500" s="156">
        <f>R500</f>
        <v>15</v>
      </c>
      <c r="F500" s="71" t="s">
        <v>254</v>
      </c>
      <c r="G500" s="89">
        <f>Nb_cellier</f>
        <v>1</v>
      </c>
      <c r="H500" s="72" t="s">
        <v>14</v>
      </c>
      <c r="I500" s="2"/>
      <c r="J500" s="2"/>
      <c r="K500" s="2"/>
      <c r="L500" s="2"/>
      <c r="M500" s="75">
        <f>IF(ISNUMBER(G500),E500*G500,"")</f>
        <v>15</v>
      </c>
      <c r="N500" s="71" t="s">
        <v>255</v>
      </c>
      <c r="O500" s="2"/>
      <c r="P500" s="71"/>
      <c r="Q500" s="73"/>
      <c r="R500" s="55">
        <f>IF(ISNA(VLOOKUP(Choix_piecesp,Zone_nbpieces,6,0)),"",VLOOKUP(Choix_piecesp,Zone_nbpieces,6,0))</f>
        <v>15</v>
      </c>
      <c r="T500" s="55"/>
      <c r="V500" s="2"/>
      <c r="W500" s="122">
        <f>MAX(P486,P485,P498*W499)</f>
        <v>120</v>
      </c>
      <c r="X500" s="73" t="s">
        <v>255</v>
      </c>
    </row>
    <row r="501" spans="2:27" x14ac:dyDescent="0.25">
      <c r="B501" s="70"/>
      <c r="C501" s="2"/>
      <c r="D501" s="71"/>
      <c r="E501" s="71"/>
      <c r="F501" s="71"/>
      <c r="G501" s="71"/>
      <c r="H501" s="2"/>
      <c r="I501" s="2"/>
      <c r="J501" s="2"/>
      <c r="K501" s="2"/>
      <c r="L501" s="2"/>
      <c r="M501" s="387"/>
      <c r="N501" s="71"/>
      <c r="O501" s="2"/>
      <c r="P501" s="2"/>
      <c r="Q501" s="9"/>
      <c r="T501" s="497">
        <f>MAX($P$486,$P$485,$P$498,P492)</f>
        <v>144</v>
      </c>
      <c r="V501" s="74" t="s">
        <v>277</v>
      </c>
      <c r="W501" s="79">
        <f>W500/H22</f>
        <v>0.34532374100719426</v>
      </c>
      <c r="X501" s="73" t="s">
        <v>259</v>
      </c>
    </row>
    <row r="502" spans="2:27" ht="16.5" thickBot="1" x14ac:dyDescent="0.3">
      <c r="B502" s="508"/>
      <c r="C502" s="13"/>
      <c r="D502" s="509"/>
      <c r="E502" s="509"/>
      <c r="F502" s="509"/>
      <c r="G502" s="509"/>
      <c r="H502" s="13"/>
      <c r="I502" s="13"/>
      <c r="J502" s="13"/>
      <c r="K502" s="13"/>
      <c r="L502" s="13"/>
      <c r="M502" s="13"/>
      <c r="N502" s="509"/>
      <c r="O502" s="13"/>
      <c r="P502" s="13"/>
      <c r="Q502" s="14"/>
      <c r="T502" s="497">
        <f>P499</f>
        <v>195</v>
      </c>
    </row>
    <row r="503" spans="2:27" x14ac:dyDescent="0.25">
      <c r="B503" s="504"/>
      <c r="C503" s="6"/>
      <c r="D503" s="6"/>
      <c r="E503" s="6"/>
      <c r="F503" s="6"/>
      <c r="G503" s="6"/>
      <c r="H503" s="6"/>
      <c r="I503" s="6"/>
      <c r="J503" s="6"/>
      <c r="K503" s="6"/>
      <c r="L503" s="6"/>
      <c r="M503" s="6"/>
      <c r="N503" s="505"/>
      <c r="O503" s="505"/>
      <c r="P503" s="505"/>
      <c r="Q503" s="506"/>
      <c r="R503" s="44"/>
      <c r="S503" s="44"/>
      <c r="T503" s="44"/>
    </row>
    <row r="504" spans="2:27" x14ac:dyDescent="0.25">
      <c r="B504" s="8"/>
      <c r="C504" s="2"/>
      <c r="D504" s="2"/>
      <c r="E504" s="2"/>
      <c r="F504" s="2"/>
      <c r="G504" s="2"/>
      <c r="H504" s="2"/>
      <c r="I504" s="2"/>
      <c r="J504" s="2"/>
      <c r="K504" s="2"/>
      <c r="L504" s="2"/>
      <c r="M504" s="2"/>
      <c r="N504" s="69"/>
      <c r="O504" s="2"/>
      <c r="P504" s="2"/>
      <c r="Q504" s="73"/>
      <c r="R504" s="44"/>
      <c r="S504" s="44"/>
      <c r="T504" s="44"/>
    </row>
    <row r="505" spans="2:27" x14ac:dyDescent="0.25">
      <c r="B505" s="80"/>
      <c r="C505" s="2"/>
      <c r="D505" s="2"/>
      <c r="E505" s="2"/>
      <c r="F505" s="2"/>
      <c r="G505" s="2"/>
      <c r="H505" s="2"/>
      <c r="I505" s="2"/>
      <c r="J505" s="2"/>
      <c r="K505" s="2"/>
      <c r="L505" s="2"/>
      <c r="M505" s="2"/>
      <c r="N505" s="69"/>
      <c r="O505" s="76" t="s">
        <v>645</v>
      </c>
      <c r="P505" s="489">
        <f>T501</f>
        <v>144</v>
      </c>
      <c r="Q505" s="73" t="s">
        <v>642</v>
      </c>
      <c r="R505" s="44"/>
      <c r="S505" s="44"/>
      <c r="T505" s="493"/>
      <c r="U505" s="66"/>
      <c r="V505" s="66"/>
      <c r="W505" s="66"/>
      <c r="X505" s="126"/>
      <c r="Y505" s="126"/>
      <c r="Z505" s="66"/>
      <c r="AA505" s="127"/>
    </row>
    <row r="506" spans="2:27" x14ac:dyDescent="0.25">
      <c r="B506" s="80"/>
      <c r="C506" s="2"/>
      <c r="D506" s="2"/>
      <c r="E506" s="2"/>
      <c r="F506" s="2"/>
      <c r="G506" s="2"/>
      <c r="H506" s="2"/>
      <c r="I506" s="2"/>
      <c r="J506" s="2"/>
      <c r="K506" s="2"/>
      <c r="L506" s="2"/>
      <c r="M506" s="2"/>
      <c r="N506" s="69"/>
      <c r="O506" s="76" t="s">
        <v>646</v>
      </c>
      <c r="P506" s="489">
        <f>T502</f>
        <v>195</v>
      </c>
      <c r="Q506" s="73" t="s">
        <v>643</v>
      </c>
      <c r="R506" s="44"/>
      <c r="S506" s="44"/>
      <c r="T506" s="494"/>
      <c r="U506" s="2"/>
      <c r="V506" s="86" t="s">
        <v>261</v>
      </c>
      <c r="W506" s="86" t="s">
        <v>261</v>
      </c>
      <c r="X506" s="2"/>
      <c r="Y506" s="81" t="s">
        <v>260</v>
      </c>
      <c r="Z506" s="2"/>
      <c r="AA506" s="110"/>
    </row>
    <row r="507" spans="2:27" x14ac:dyDescent="0.25">
      <c r="B507" s="8"/>
      <c r="C507" s="2"/>
      <c r="D507" s="2"/>
      <c r="E507" s="2"/>
      <c r="F507" s="2"/>
      <c r="G507" s="2"/>
      <c r="H507" s="2"/>
      <c r="I507" s="2"/>
      <c r="J507" s="2"/>
      <c r="K507" s="2"/>
      <c r="L507" s="2"/>
      <c r="M507" s="2"/>
      <c r="N507" s="2"/>
      <c r="O507" s="2"/>
      <c r="P507" s="2"/>
      <c r="Q507" s="9"/>
      <c r="R507" s="44"/>
      <c r="S507" s="44"/>
      <c r="T507" s="494"/>
      <c r="U507" s="2"/>
      <c r="V507" s="86" t="s">
        <v>399</v>
      </c>
      <c r="W507" s="86" t="s">
        <v>399</v>
      </c>
      <c r="X507" s="2"/>
      <c r="Y507" s="81" t="s">
        <v>400</v>
      </c>
      <c r="Z507" s="2"/>
      <c r="AA507" s="110"/>
    </row>
    <row r="508" spans="2:27" x14ac:dyDescent="0.25">
      <c r="B508" s="8"/>
      <c r="C508" s="2"/>
      <c r="D508" s="2"/>
      <c r="E508" s="2"/>
      <c r="F508" s="2"/>
      <c r="G508" s="2"/>
      <c r="H508" s="2"/>
      <c r="I508" s="2"/>
      <c r="J508" s="2"/>
      <c r="K508" s="2"/>
      <c r="L508" s="2"/>
      <c r="M508" s="2" t="s">
        <v>653</v>
      </c>
      <c r="N508" s="2"/>
      <c r="O508" s="2"/>
      <c r="P508" s="2" t="s">
        <v>49</v>
      </c>
      <c r="Q508" s="9"/>
      <c r="R508" s="44"/>
      <c r="S508" s="44"/>
      <c r="T508" s="494"/>
      <c r="U508" s="2"/>
      <c r="V508" s="299" t="s">
        <v>554</v>
      </c>
      <c r="W508" s="298" t="s">
        <v>555</v>
      </c>
      <c r="X508" s="2"/>
      <c r="Y508" s="82"/>
      <c r="Z508" s="2"/>
      <c r="AA508" s="110"/>
    </row>
    <row r="509" spans="2:27" x14ac:dyDescent="0.25">
      <c r="B509" s="8"/>
      <c r="C509" s="2"/>
      <c r="D509" s="2"/>
      <c r="E509" s="2"/>
      <c r="F509" s="2"/>
      <c r="G509" s="2"/>
      <c r="H509" s="2"/>
      <c r="I509" s="2"/>
      <c r="J509" s="2"/>
      <c r="K509" s="2"/>
      <c r="L509" s="2"/>
      <c r="M509" s="489">
        <f>Volume/G486</f>
        <v>86.875</v>
      </c>
      <c r="N509" s="71" t="s">
        <v>652</v>
      </c>
      <c r="O509" s="2"/>
      <c r="P509" s="496">
        <f>P505/Volume</f>
        <v>0.41438848920863308</v>
      </c>
      <c r="Q509" s="73" t="s">
        <v>647</v>
      </c>
      <c r="R509" s="44"/>
      <c r="S509" s="44"/>
      <c r="T509" s="494"/>
      <c r="U509" s="2"/>
      <c r="V509" s="300">
        <v>24</v>
      </c>
      <c r="W509" s="300">
        <v>2</v>
      </c>
      <c r="X509" s="2"/>
      <c r="Y509" s="182">
        <v>1</v>
      </c>
      <c r="Z509" s="2"/>
      <c r="AA509" s="110"/>
    </row>
    <row r="510" spans="2:27" x14ac:dyDescent="0.25">
      <c r="B510" s="8"/>
      <c r="C510" s="2"/>
      <c r="D510" s="2"/>
      <c r="E510" s="2"/>
      <c r="F510" s="2"/>
      <c r="G510" s="2"/>
      <c r="H510" s="2"/>
      <c r="I510" s="2"/>
      <c r="J510" s="2"/>
      <c r="K510" s="2"/>
      <c r="L510" s="2"/>
      <c r="M510" s="2"/>
      <c r="N510" s="2"/>
      <c r="O510" s="2"/>
      <c r="P510" s="2"/>
      <c r="Q510" s="9"/>
      <c r="R510" s="44"/>
      <c r="S510" s="44"/>
      <c r="T510" s="494"/>
      <c r="U510" s="2"/>
      <c r="V510" s="300">
        <v>0</v>
      </c>
      <c r="W510" s="300">
        <v>22</v>
      </c>
      <c r="X510" s="2"/>
      <c r="Y510" s="182">
        <v>0.77</v>
      </c>
      <c r="Z510" s="2"/>
      <c r="AA510" s="110"/>
    </row>
    <row r="511" spans="2:27" x14ac:dyDescent="0.25">
      <c r="B511" s="8"/>
      <c r="C511" s="2"/>
      <c r="D511" s="2"/>
      <c r="E511" s="2"/>
      <c r="F511" s="2"/>
      <c r="G511" s="2"/>
      <c r="H511" s="2"/>
      <c r="I511" s="2"/>
      <c r="J511" s="2"/>
      <c r="K511" s="2"/>
      <c r="L511" s="2"/>
      <c r="M511" s="2"/>
      <c r="N511" s="2"/>
      <c r="O511" s="2"/>
      <c r="P511" s="2"/>
      <c r="Q511" s="9"/>
      <c r="R511" s="44"/>
      <c r="S511" s="44"/>
      <c r="T511" s="494"/>
      <c r="U511" s="2"/>
      <c r="V511" s="300">
        <v>0</v>
      </c>
      <c r="W511" s="300">
        <v>0</v>
      </c>
      <c r="X511" s="2"/>
      <c r="Y511" s="182">
        <v>0.54</v>
      </c>
      <c r="Z511" s="2"/>
      <c r="AA511" s="110"/>
    </row>
    <row r="512" spans="2:27" x14ac:dyDescent="0.25">
      <c r="B512" s="8"/>
      <c r="C512" s="2"/>
      <c r="D512" s="2"/>
      <c r="E512" s="2"/>
      <c r="F512" s="2"/>
      <c r="G512" s="2"/>
      <c r="H512" s="2"/>
      <c r="I512" s="2"/>
      <c r="J512" s="2"/>
      <c r="K512" s="2"/>
      <c r="L512" s="2"/>
      <c r="M512" s="2"/>
      <c r="N512" s="2"/>
      <c r="O512" s="2"/>
      <c r="P512" s="2"/>
      <c r="Q512" s="9"/>
      <c r="R512" s="44"/>
      <c r="S512" s="44"/>
      <c r="T512" s="494"/>
      <c r="U512" s="2"/>
      <c r="V512" s="300">
        <v>0</v>
      </c>
      <c r="W512" s="300">
        <v>0</v>
      </c>
      <c r="X512" s="2"/>
      <c r="Y512" s="182">
        <v>0.4</v>
      </c>
      <c r="Z512" s="2"/>
      <c r="AA512" s="110"/>
    </row>
    <row r="513" spans="2:27" x14ac:dyDescent="0.25">
      <c r="B513" s="8"/>
      <c r="C513" s="2"/>
      <c r="D513" s="2"/>
      <c r="E513" s="2"/>
      <c r="F513" s="2"/>
      <c r="G513" s="2"/>
      <c r="H513" s="2"/>
      <c r="I513" s="2"/>
      <c r="J513" s="2"/>
      <c r="K513" s="2"/>
      <c r="L513" s="2"/>
      <c r="M513" s="415" t="s">
        <v>269</v>
      </c>
      <c r="N513" s="415"/>
      <c r="O513" s="415"/>
      <c r="P513" s="2"/>
      <c r="Q513" s="9"/>
      <c r="R513" s="44"/>
      <c r="S513" s="44"/>
      <c r="T513" s="494"/>
      <c r="U513" s="2"/>
      <c r="V513" s="2"/>
      <c r="W513" s="2"/>
      <c r="X513" s="2"/>
      <c r="Y513" s="83"/>
      <c r="Z513" s="2"/>
      <c r="AA513" s="110"/>
    </row>
    <row r="514" spans="2:27" x14ac:dyDescent="0.25">
      <c r="B514" s="8"/>
      <c r="C514" s="2"/>
      <c r="D514" s="2"/>
      <c r="E514" s="2"/>
      <c r="F514" s="2"/>
      <c r="G514" s="2"/>
      <c r="H514" s="2"/>
      <c r="I514" s="2"/>
      <c r="J514" s="2"/>
      <c r="K514" s="2"/>
      <c r="L514" s="2"/>
      <c r="M514" s="2"/>
      <c r="N514" s="2"/>
      <c r="O514" s="2"/>
      <c r="P514" s="2"/>
      <c r="Q514" s="9"/>
      <c r="R514" s="44"/>
      <c r="S514" s="44"/>
      <c r="T514" s="494"/>
      <c r="U514" s="2"/>
      <c r="V514" s="156">
        <f>SUM(V509:V513)</f>
        <v>24</v>
      </c>
      <c r="W514" s="156">
        <f>SUM(W509:W513)</f>
        <v>24</v>
      </c>
      <c r="X514" s="2"/>
      <c r="Y514" s="301">
        <f>SUMPRODUCT(W509:W512,Y509:Y512)/24</f>
        <v>0.78916666666666668</v>
      </c>
      <c r="Z514" s="2"/>
      <c r="AA514" s="110"/>
    </row>
    <row r="515" spans="2:27" x14ac:dyDescent="0.25">
      <c r="B515" s="8"/>
      <c r="C515" s="2"/>
      <c r="D515" s="2"/>
      <c r="E515" s="2"/>
      <c r="F515" s="2"/>
      <c r="G515" s="2"/>
      <c r="H515" s="2"/>
      <c r="I515" s="2"/>
      <c r="J515" s="2"/>
      <c r="K515" s="2"/>
      <c r="L515" s="2"/>
      <c r="M515" s="415" t="s">
        <v>557</v>
      </c>
      <c r="N515" s="415"/>
      <c r="O515" s="415"/>
      <c r="P515" s="2"/>
      <c r="Q515" s="9"/>
      <c r="R515" s="44"/>
      <c r="S515" s="44"/>
      <c r="T515" s="495"/>
      <c r="U515" s="111"/>
      <c r="V515" s="111"/>
      <c r="W515" s="111"/>
      <c r="X515" s="111"/>
      <c r="Y515" s="301">
        <f>SUMPRODUCT(V509:V512,Y509:Y512)/24</f>
        <v>1</v>
      </c>
      <c r="Z515" s="111"/>
      <c r="AA515" s="112"/>
    </row>
    <row r="516" spans="2:27" x14ac:dyDescent="0.25">
      <c r="B516" s="8"/>
      <c r="C516" s="2"/>
      <c r="D516" s="2"/>
      <c r="E516" s="2"/>
      <c r="F516" s="2"/>
      <c r="G516" s="2"/>
      <c r="H516" s="2"/>
      <c r="I516" s="2"/>
      <c r="J516" s="2"/>
      <c r="K516" s="2"/>
      <c r="L516" s="2"/>
      <c r="M516" s="2"/>
      <c r="N516" s="2"/>
      <c r="O516" s="2"/>
      <c r="P516" s="2"/>
      <c r="Q516" s="9"/>
      <c r="R516" s="44"/>
      <c r="S516" s="44"/>
      <c r="T516" s="44"/>
    </row>
    <row r="517" spans="2:27" x14ac:dyDescent="0.25">
      <c r="B517" s="498" t="s">
        <v>651</v>
      </c>
      <c r="C517" s="2"/>
      <c r="D517" s="2"/>
      <c r="E517" s="2"/>
      <c r="F517" s="2"/>
      <c r="G517" s="2"/>
      <c r="H517" s="2"/>
      <c r="I517" s="2"/>
      <c r="J517" s="2"/>
      <c r="K517" s="2"/>
      <c r="L517" s="2"/>
      <c r="M517" s="2"/>
      <c r="N517" s="2"/>
      <c r="O517" s="2"/>
      <c r="P517" s="2"/>
      <c r="Q517" s="9"/>
      <c r="R517" s="44"/>
      <c r="S517" s="44"/>
      <c r="T517" s="44"/>
    </row>
    <row r="518" spans="2:27" ht="16.5" thickBot="1" x14ac:dyDescent="0.3">
      <c r="B518" s="12"/>
      <c r="C518" s="13"/>
      <c r="D518" s="13"/>
      <c r="E518" s="13"/>
      <c r="F518" s="13"/>
      <c r="G518" s="13"/>
      <c r="H518" s="13"/>
      <c r="I518" s="13"/>
      <c r="J518" s="13"/>
      <c r="K518" s="13"/>
      <c r="L518" s="13"/>
      <c r="M518" s="13"/>
      <c r="N518" s="13"/>
      <c r="O518" s="13"/>
      <c r="P518" s="13"/>
      <c r="Q518" s="14"/>
      <c r="R518" s="44"/>
      <c r="S518" s="44"/>
      <c r="T518" s="44"/>
    </row>
    <row r="519" spans="2:27" x14ac:dyDescent="0.25">
      <c r="R519" s="44"/>
      <c r="S519" s="44"/>
      <c r="T519" s="44"/>
    </row>
    <row r="520" spans="2:27" ht="63.75" hidden="1" x14ac:dyDescent="0.25">
      <c r="B520" s="202" t="s">
        <v>449</v>
      </c>
      <c r="C520" s="69"/>
      <c r="D520" s="69"/>
      <c r="E520" s="69"/>
      <c r="F520" s="210" t="s">
        <v>481</v>
      </c>
      <c r="G520" s="69"/>
      <c r="H520" s="69"/>
      <c r="I520" s="69"/>
      <c r="J520" s="69"/>
      <c r="K520" s="69"/>
      <c r="L520" s="2"/>
      <c r="M520" s="2"/>
      <c r="N520" s="2"/>
      <c r="O520" s="2"/>
      <c r="P520" s="2"/>
      <c r="Q520" s="2"/>
      <c r="R520" s="44"/>
      <c r="S520" s="44"/>
      <c r="T520" s="44"/>
    </row>
    <row r="521" spans="2:27" ht="26.25" hidden="1" x14ac:dyDescent="0.4">
      <c r="B521" s="390" t="s">
        <v>264</v>
      </c>
      <c r="C521" s="391"/>
      <c r="D521" s="391"/>
      <c r="E521" s="391"/>
      <c r="F521" s="391"/>
      <c r="G521" s="391"/>
      <c r="H521" s="391"/>
      <c r="I521" s="391"/>
      <c r="J521" s="391"/>
      <c r="K521" s="391"/>
      <c r="L521" s="391"/>
      <c r="M521" s="391"/>
      <c r="N521" s="391"/>
      <c r="O521" s="391"/>
      <c r="P521" s="391"/>
      <c r="Q521" s="392"/>
      <c r="R521" s="44"/>
      <c r="S521" s="44"/>
      <c r="T521" s="44"/>
    </row>
    <row r="522" spans="2:27" hidden="1" x14ac:dyDescent="0.25">
      <c r="B522" s="203"/>
      <c r="C522" s="2"/>
      <c r="D522" s="71"/>
      <c r="E522" s="72"/>
      <c r="F522" s="72"/>
      <c r="G522" s="72"/>
      <c r="H522" s="71"/>
      <c r="I522" s="2"/>
      <c r="J522" s="2"/>
      <c r="K522" s="2"/>
      <c r="L522" s="2"/>
      <c r="M522" s="2"/>
      <c r="N522" s="71"/>
      <c r="O522" s="71"/>
      <c r="P522" s="71"/>
      <c r="Q522" s="204"/>
      <c r="R522" s="44"/>
      <c r="S522" s="44"/>
      <c r="T522" s="44"/>
    </row>
    <row r="523" spans="2:27" hidden="1" x14ac:dyDescent="0.25">
      <c r="B523" s="205" t="s">
        <v>456</v>
      </c>
      <c r="C523" s="388" t="s">
        <v>457</v>
      </c>
      <c r="D523" s="388"/>
      <c r="E523" s="388"/>
      <c r="F523" s="396"/>
      <c r="G523" s="393">
        <v>0.3</v>
      </c>
      <c r="H523" s="394"/>
      <c r="I523" s="394"/>
      <c r="J523" s="395"/>
      <c r="K523" s="2"/>
      <c r="L523" s="197">
        <f>IF(ISNA(VLOOKUP(choix_insatisfaits,tableau1b,2,0)),"",VLOOKUP(choix_insatisfaits,tableau1b,3,0))</f>
        <v>14.4</v>
      </c>
      <c r="M523" s="2" t="s">
        <v>459</v>
      </c>
      <c r="N523" s="71"/>
      <c r="O523" s="71"/>
      <c r="P523" s="71"/>
      <c r="Q523" s="204"/>
      <c r="R523" s="44"/>
      <c r="S523" s="44"/>
      <c r="T523" s="44"/>
    </row>
    <row r="524" spans="2:27" hidden="1" x14ac:dyDescent="0.25">
      <c r="B524" s="203"/>
      <c r="C524" s="2"/>
      <c r="D524" s="74"/>
      <c r="E524" s="192"/>
      <c r="F524" s="71"/>
      <c r="G524" s="193"/>
      <c r="H524" s="72"/>
      <c r="I524" s="2"/>
      <c r="J524" s="2"/>
      <c r="K524" s="2"/>
      <c r="L524" s="119"/>
      <c r="M524" s="87"/>
      <c r="N524" s="71"/>
      <c r="O524" s="2"/>
      <c r="P524" s="87"/>
      <c r="Q524" s="204"/>
      <c r="R524" s="44"/>
      <c r="S524" s="44"/>
      <c r="T524" s="44"/>
    </row>
    <row r="525" spans="2:27" hidden="1" x14ac:dyDescent="0.25">
      <c r="B525" s="205"/>
      <c r="C525" s="388" t="s">
        <v>460</v>
      </c>
      <c r="D525" s="388"/>
      <c r="E525" s="388"/>
      <c r="F525" s="389"/>
      <c r="G525" s="156">
        <f>Choix_habitants</f>
        <v>4</v>
      </c>
      <c r="H525" s="72"/>
      <c r="I525" s="2"/>
      <c r="J525" s="2"/>
      <c r="K525" s="2"/>
      <c r="L525" s="119">
        <f>L523*G525</f>
        <v>57.6</v>
      </c>
      <c r="M525" s="2" t="s">
        <v>461</v>
      </c>
      <c r="N525" s="71"/>
      <c r="O525" s="2"/>
      <c r="P525" s="87"/>
      <c r="Q525" s="204"/>
      <c r="R525" s="44"/>
      <c r="S525" s="44"/>
      <c r="T525" s="44"/>
    </row>
    <row r="526" spans="2:27" hidden="1" x14ac:dyDescent="0.25">
      <c r="B526" s="203"/>
      <c r="C526" s="2"/>
      <c r="D526" s="74"/>
      <c r="E526" s="87"/>
      <c r="F526" s="71"/>
      <c r="G526" s="72"/>
      <c r="H526" s="72"/>
      <c r="I526" s="2"/>
      <c r="J526" s="2"/>
      <c r="K526" s="2"/>
      <c r="L526" s="2"/>
      <c r="M526" s="87"/>
      <c r="N526" s="71"/>
      <c r="O526" s="2"/>
      <c r="P526" s="87"/>
      <c r="Q526" s="204"/>
      <c r="R526" s="44"/>
      <c r="S526" s="44"/>
      <c r="T526" s="44"/>
    </row>
    <row r="527" spans="2:27" hidden="1" x14ac:dyDescent="0.25">
      <c r="B527" s="203"/>
      <c r="C527" s="2"/>
      <c r="D527" s="71"/>
      <c r="E527" s="71"/>
      <c r="F527" s="71"/>
      <c r="G527" s="71"/>
      <c r="H527" s="71"/>
      <c r="I527" s="2"/>
      <c r="J527" s="2"/>
      <c r="K527" s="2"/>
      <c r="L527" s="2"/>
      <c r="M527" s="71"/>
      <c r="N527" s="71"/>
      <c r="O527" s="2"/>
      <c r="P527" s="71"/>
      <c r="Q527" s="204"/>
      <c r="R527" s="44"/>
      <c r="S527" s="44"/>
      <c r="T527" s="44"/>
    </row>
    <row r="528" spans="2:27" hidden="1" x14ac:dyDescent="0.25">
      <c r="B528" s="205" t="s">
        <v>463</v>
      </c>
      <c r="C528" s="388" t="s">
        <v>464</v>
      </c>
      <c r="D528" s="388"/>
      <c r="E528" s="388"/>
      <c r="F528" s="396"/>
      <c r="G528" s="393" t="s">
        <v>452</v>
      </c>
      <c r="H528" s="394"/>
      <c r="I528" s="394"/>
      <c r="J528" s="395"/>
      <c r="K528" s="2"/>
      <c r="L528" s="119">
        <f>IF(ISNA(VLOOKUP(Choix_polluantbati,tableau1d,1,0)),"",VLOOKUP(Choix_polluantbati,tableau1d,2,0))</f>
        <v>1.08</v>
      </c>
      <c r="M528" s="2" t="s">
        <v>462</v>
      </c>
      <c r="N528" s="71"/>
      <c r="O528" s="2"/>
      <c r="P528" s="71"/>
      <c r="Q528" s="204"/>
      <c r="R528" s="44"/>
      <c r="S528" s="44"/>
      <c r="T528" s="44"/>
    </row>
    <row r="529" spans="2:20" hidden="1" x14ac:dyDescent="0.25">
      <c r="B529" s="203"/>
      <c r="C529" s="2"/>
      <c r="D529" s="76"/>
      <c r="E529" s="192"/>
      <c r="F529" s="71"/>
      <c r="G529" s="193"/>
      <c r="H529" s="72"/>
      <c r="I529" s="2"/>
      <c r="J529" s="2"/>
      <c r="K529" s="2"/>
      <c r="L529" s="2"/>
      <c r="M529" s="87"/>
      <c r="N529" s="71"/>
      <c r="O529" s="2"/>
      <c r="P529" s="71"/>
      <c r="Q529" s="204"/>
      <c r="R529" s="44"/>
      <c r="S529" s="44"/>
      <c r="T529" s="44"/>
    </row>
    <row r="530" spans="2:20" hidden="1" x14ac:dyDescent="0.25">
      <c r="B530" s="203"/>
      <c r="C530" s="388" t="s">
        <v>345</v>
      </c>
      <c r="D530" s="388"/>
      <c r="E530" s="388"/>
      <c r="F530" s="389"/>
      <c r="G530" s="156">
        <f>Shab</f>
        <v>139</v>
      </c>
      <c r="H530" s="72"/>
      <c r="I530" s="2"/>
      <c r="J530" s="2"/>
      <c r="K530" s="2"/>
      <c r="L530" s="119">
        <f>L528*G530</f>
        <v>150.12</v>
      </c>
      <c r="M530" s="2" t="s">
        <v>461</v>
      </c>
      <c r="N530" s="71"/>
      <c r="O530" s="2"/>
      <c r="P530" s="71"/>
      <c r="Q530" s="204"/>
      <c r="R530" s="44"/>
      <c r="S530" s="44"/>
      <c r="T530" s="44"/>
    </row>
    <row r="531" spans="2:20" hidden="1" x14ac:dyDescent="0.25">
      <c r="B531" s="203"/>
      <c r="C531" s="2"/>
      <c r="D531" s="76"/>
      <c r="E531" s="192"/>
      <c r="F531" s="71"/>
      <c r="G531" s="193"/>
      <c r="H531" s="72"/>
      <c r="I531" s="2"/>
      <c r="J531" s="2"/>
      <c r="K531" s="2"/>
      <c r="L531" s="2"/>
      <c r="M531" s="87"/>
      <c r="N531" s="71"/>
      <c r="O531" s="2"/>
      <c r="P531" s="71"/>
      <c r="Q531" s="204"/>
      <c r="R531" s="44"/>
      <c r="S531" s="44"/>
      <c r="T531" s="44"/>
    </row>
    <row r="532" spans="2:20" hidden="1" x14ac:dyDescent="0.25">
      <c r="B532" s="203"/>
      <c r="C532" s="2"/>
      <c r="D532" s="71"/>
      <c r="E532" s="71"/>
      <c r="F532" s="71"/>
      <c r="G532" s="71"/>
      <c r="H532" s="2"/>
      <c r="I532" s="2"/>
      <c r="J532" s="2" t="s">
        <v>465</v>
      </c>
      <c r="K532" s="2"/>
      <c r="L532" s="198">
        <f>L525+L530</f>
        <v>207.72</v>
      </c>
      <c r="M532" s="199" t="s">
        <v>466</v>
      </c>
      <c r="N532" s="200"/>
      <c r="O532" s="201"/>
      <c r="P532" s="87"/>
      <c r="Q532" s="204"/>
      <c r="R532" s="44"/>
      <c r="S532" s="44"/>
      <c r="T532" s="44"/>
    </row>
    <row r="533" spans="2:20" hidden="1" x14ac:dyDescent="0.25">
      <c r="B533" s="206"/>
      <c r="C533" s="111"/>
      <c r="D533" s="111"/>
      <c r="E533" s="111"/>
      <c r="F533" s="111"/>
      <c r="G533" s="111"/>
      <c r="H533" s="111"/>
      <c r="I533" s="111"/>
      <c r="J533" s="111"/>
      <c r="K533" s="111"/>
      <c r="L533" s="111"/>
      <c r="M533" s="111"/>
      <c r="N533" s="77"/>
      <c r="O533" s="77"/>
      <c r="P533" s="77"/>
      <c r="Q533" s="207"/>
      <c r="R533" s="44"/>
      <c r="S533" s="44"/>
      <c r="T533" s="44"/>
    </row>
    <row r="534" spans="2:20" hidden="1" x14ac:dyDescent="0.25">
      <c r="B534" s="2"/>
      <c r="C534" s="2"/>
      <c r="D534" s="2"/>
      <c r="E534" s="2"/>
      <c r="F534" s="2"/>
      <c r="G534" s="2"/>
      <c r="H534" s="2"/>
      <c r="I534" s="2"/>
      <c r="J534" s="2"/>
      <c r="K534" s="2"/>
      <c r="L534" s="2"/>
      <c r="M534" s="2"/>
      <c r="N534" s="71"/>
      <c r="O534" s="74"/>
      <c r="P534" s="194"/>
      <c r="Q534" s="71"/>
      <c r="R534" s="44"/>
      <c r="S534" s="44"/>
      <c r="T534" s="44"/>
    </row>
    <row r="535" spans="2:20" ht="26.25" hidden="1" x14ac:dyDescent="0.4">
      <c r="B535" s="390" t="s">
        <v>264</v>
      </c>
      <c r="C535" s="391"/>
      <c r="D535" s="391"/>
      <c r="E535" s="391"/>
      <c r="F535" s="391"/>
      <c r="G535" s="391"/>
      <c r="H535" s="391"/>
      <c r="I535" s="391"/>
      <c r="J535" s="391"/>
      <c r="K535" s="391"/>
      <c r="L535" s="391"/>
      <c r="M535" s="391"/>
      <c r="N535" s="391"/>
      <c r="O535" s="391"/>
      <c r="P535" s="391"/>
      <c r="Q535" s="392"/>
      <c r="R535" s="44"/>
      <c r="S535" s="44"/>
      <c r="T535" s="44"/>
    </row>
    <row r="536" spans="2:20" hidden="1" x14ac:dyDescent="0.25">
      <c r="B536" s="203"/>
      <c r="C536" s="2"/>
      <c r="D536" s="71"/>
      <c r="E536" s="72"/>
      <c r="F536" s="72"/>
      <c r="G536" s="72"/>
      <c r="H536" s="71"/>
      <c r="I536" s="2"/>
      <c r="J536" s="2"/>
      <c r="K536" s="2"/>
      <c r="L536" s="2"/>
      <c r="M536" s="2"/>
      <c r="N536" s="71"/>
      <c r="O536" s="71"/>
      <c r="P536" s="71"/>
      <c r="Q536" s="204"/>
      <c r="R536" s="44"/>
      <c r="S536" s="44"/>
      <c r="T536" s="44"/>
    </row>
    <row r="537" spans="2:20" hidden="1" x14ac:dyDescent="0.25">
      <c r="B537" s="205" t="s">
        <v>469</v>
      </c>
      <c r="C537" s="196">
        <v>50</v>
      </c>
      <c r="D537" s="196" t="s">
        <v>89</v>
      </c>
      <c r="E537" s="196">
        <v>4</v>
      </c>
      <c r="F537" s="208" t="s">
        <v>474</v>
      </c>
      <c r="G537" s="87">
        <f>IF(ISNA(VLOOKUP(choix_insatisfaits,tableau5b,2,0)),"",VLOOKUP(choix_insatisfaits,tableau5b,3,0))</f>
        <v>0.5</v>
      </c>
      <c r="H537" s="87">
        <f>IF(ISNA(VLOOKUP(choix_insatisfaits,tableau5b,2,0)),"",VLOOKUP(choix_insatisfaits,tableau5b,4,0))</f>
        <v>14.4</v>
      </c>
      <c r="I537" s="2"/>
      <c r="J537" s="2">
        <f>C537*G537</f>
        <v>25</v>
      </c>
      <c r="K537" s="2"/>
      <c r="L537" s="197">
        <f>E537*H537</f>
        <v>57.6</v>
      </c>
      <c r="M537" s="2"/>
      <c r="N537" s="71"/>
      <c r="O537" s="209">
        <f>SUM(L537:M541)</f>
        <v>129.60000000000002</v>
      </c>
      <c r="P537" s="71"/>
      <c r="Q537" s="204"/>
      <c r="R537" s="44"/>
      <c r="S537" s="44"/>
      <c r="T537" s="44"/>
    </row>
    <row r="538" spans="2:20" hidden="1" x14ac:dyDescent="0.25">
      <c r="B538" s="205" t="s">
        <v>470</v>
      </c>
      <c r="C538" s="2">
        <v>15</v>
      </c>
      <c r="D538" s="196" t="s">
        <v>89</v>
      </c>
      <c r="E538" s="196">
        <v>2</v>
      </c>
      <c r="F538" s="208" t="s">
        <v>474</v>
      </c>
      <c r="G538" s="87">
        <f>IF(ISNA(VLOOKUP(choix_insatisfaits,tableau5b,2,0)),"",VLOOKUP(choix_insatisfaits,tableau5b,3,0))</f>
        <v>0.5</v>
      </c>
      <c r="H538" s="87">
        <f>IF(ISNA(VLOOKUP(choix_insatisfaits,tableau5b,2,0)),"",VLOOKUP(choix_insatisfaits,tableau5b,4,0))</f>
        <v>14.4</v>
      </c>
      <c r="I538" s="2"/>
      <c r="J538" s="2">
        <f>C538*G538</f>
        <v>7.5</v>
      </c>
      <c r="K538" s="2"/>
      <c r="L538" s="197">
        <f>E538*H538</f>
        <v>28.8</v>
      </c>
      <c r="M538" s="87"/>
      <c r="N538" s="71"/>
      <c r="O538" s="119"/>
      <c r="P538" s="87"/>
      <c r="Q538" s="204"/>
      <c r="R538" s="44"/>
      <c r="S538" s="44"/>
      <c r="T538" s="44"/>
    </row>
    <row r="539" spans="2:20" hidden="1" x14ac:dyDescent="0.25">
      <c r="B539" s="205" t="s">
        <v>471</v>
      </c>
      <c r="C539" s="196">
        <v>15</v>
      </c>
      <c r="D539" s="196" t="s">
        <v>89</v>
      </c>
      <c r="E539" s="196">
        <v>1</v>
      </c>
      <c r="F539" s="208" t="s">
        <v>474</v>
      </c>
      <c r="G539" s="87">
        <f>IF(ISNA(VLOOKUP(choix_insatisfaits,tableau5b,2,0)),"",VLOOKUP(choix_insatisfaits,tableau5b,3,0))</f>
        <v>0.5</v>
      </c>
      <c r="H539" s="87">
        <f>IF(ISNA(VLOOKUP(choix_insatisfaits,tableau5b,2,0)),"",VLOOKUP(choix_insatisfaits,tableau5b,4,0))</f>
        <v>14.4</v>
      </c>
      <c r="I539" s="2"/>
      <c r="J539" s="2">
        <f>C539*G539</f>
        <v>7.5</v>
      </c>
      <c r="K539" s="2"/>
      <c r="L539" s="197">
        <f>E539*H539</f>
        <v>14.4</v>
      </c>
      <c r="M539" s="87"/>
      <c r="N539" s="71"/>
      <c r="O539" s="119"/>
      <c r="P539" s="87"/>
      <c r="Q539" s="204"/>
      <c r="R539" s="44"/>
      <c r="S539" s="44"/>
      <c r="T539" s="44"/>
    </row>
    <row r="540" spans="2:20" hidden="1" x14ac:dyDescent="0.25">
      <c r="B540" s="205" t="s">
        <v>472</v>
      </c>
      <c r="C540" s="2">
        <v>15</v>
      </c>
      <c r="D540" s="196" t="s">
        <v>89</v>
      </c>
      <c r="E540" s="196">
        <v>1</v>
      </c>
      <c r="F540" s="208" t="s">
        <v>474</v>
      </c>
      <c r="G540" s="87">
        <f>IF(ISNA(VLOOKUP(choix_insatisfaits,tableau5b,2,0)),"",VLOOKUP(choix_insatisfaits,tableau5b,3,0))</f>
        <v>0.5</v>
      </c>
      <c r="H540" s="87">
        <f>IF(ISNA(VLOOKUP(choix_insatisfaits,tableau5b,2,0)),"",VLOOKUP(choix_insatisfaits,tableau5b,4,0))</f>
        <v>14.4</v>
      </c>
      <c r="I540" s="2"/>
      <c r="J540" s="2">
        <f>C540*G540</f>
        <v>7.5</v>
      </c>
      <c r="K540" s="2"/>
      <c r="L540" s="197">
        <f>E540*H540</f>
        <v>14.4</v>
      </c>
      <c r="M540" s="87"/>
      <c r="N540" s="71"/>
      <c r="O540" s="119"/>
      <c r="P540" s="87"/>
      <c r="Q540" s="204"/>
      <c r="R540" s="44"/>
      <c r="S540" s="44"/>
      <c r="T540" s="44"/>
    </row>
    <row r="541" spans="2:20" hidden="1" x14ac:dyDescent="0.25">
      <c r="B541" s="205" t="s">
        <v>473</v>
      </c>
      <c r="C541" s="2">
        <v>10</v>
      </c>
      <c r="D541" s="196" t="s">
        <v>89</v>
      </c>
      <c r="E541" s="196">
        <v>1</v>
      </c>
      <c r="F541" s="208" t="s">
        <v>474</v>
      </c>
      <c r="G541" s="87">
        <f>IF(ISNA(VLOOKUP(choix_insatisfaits,tableau5b,2,0)),"",VLOOKUP(choix_insatisfaits,tableau5b,3,0))</f>
        <v>0.5</v>
      </c>
      <c r="H541" s="87">
        <f>IF(ISNA(VLOOKUP(choix_insatisfaits,tableau5b,2,0)),"",VLOOKUP(choix_insatisfaits,tableau5b,4,0))</f>
        <v>14.4</v>
      </c>
      <c r="I541" s="2"/>
      <c r="J541" s="2">
        <f>C541*G541</f>
        <v>5</v>
      </c>
      <c r="K541" s="2"/>
      <c r="L541" s="197">
        <f>E541*H541</f>
        <v>14.4</v>
      </c>
      <c r="M541" s="87"/>
      <c r="N541" s="71"/>
      <c r="O541" s="119"/>
      <c r="P541" s="71"/>
      <c r="Q541" s="204"/>
      <c r="R541" s="44"/>
      <c r="S541" s="44"/>
      <c r="T541" s="44"/>
    </row>
    <row r="542" spans="2:20" hidden="1" x14ac:dyDescent="0.25">
      <c r="B542" s="205"/>
      <c r="C542" s="196"/>
      <c r="D542" s="196"/>
      <c r="E542" s="196"/>
      <c r="F542" s="208"/>
      <c r="G542" s="193"/>
      <c r="H542" s="72"/>
      <c r="I542" s="2"/>
      <c r="J542" s="2"/>
      <c r="K542" s="2"/>
      <c r="L542" s="119"/>
      <c r="M542" s="87"/>
      <c r="N542" s="71"/>
      <c r="O542" s="119"/>
      <c r="P542" s="71"/>
      <c r="Q542" s="204"/>
      <c r="R542" s="44"/>
      <c r="S542" s="44"/>
      <c r="T542" s="44"/>
    </row>
    <row r="543" spans="2:20" hidden="1" x14ac:dyDescent="0.25">
      <c r="B543" s="205" t="s">
        <v>256</v>
      </c>
      <c r="C543" s="2"/>
      <c r="D543" s="76"/>
      <c r="E543" s="192" t="s">
        <v>475</v>
      </c>
      <c r="F543" s="71"/>
      <c r="G543" s="193"/>
      <c r="H543" s="72">
        <f>IF(ISNA(VLOOKUP(E543,tableau5c,1,0)),"",VLOOKUP(E543,tableau5c,2,0))</f>
        <v>50.4</v>
      </c>
      <c r="I543" s="2"/>
      <c r="J543" s="2"/>
      <c r="K543" s="2"/>
      <c r="L543" s="119">
        <f>H543</f>
        <v>50.4</v>
      </c>
      <c r="M543" s="87"/>
      <c r="N543" s="71"/>
      <c r="O543" s="119">
        <f>SUM(L543:L546)</f>
        <v>158.4</v>
      </c>
      <c r="P543" s="71"/>
      <c r="Q543" s="204"/>
      <c r="R543" s="44"/>
      <c r="S543" s="44"/>
      <c r="T543" s="44"/>
    </row>
    <row r="544" spans="2:20" hidden="1" x14ac:dyDescent="0.25">
      <c r="B544" s="205" t="s">
        <v>478</v>
      </c>
      <c r="C544" s="196"/>
      <c r="D544" s="196"/>
      <c r="E544" s="192" t="s">
        <v>476</v>
      </c>
      <c r="F544" s="196"/>
      <c r="G544" s="193"/>
      <c r="H544" s="72">
        <f>IF(ISNA(VLOOKUP(E544,tableau5c,1,0)),"",VLOOKUP(E544,tableau5c,2,0))</f>
        <v>36</v>
      </c>
      <c r="I544" s="2"/>
      <c r="J544" s="2"/>
      <c r="K544" s="2"/>
      <c r="L544" s="119">
        <f>H544</f>
        <v>36</v>
      </c>
      <c r="M544" s="87"/>
      <c r="N544" s="71"/>
      <c r="O544" s="2"/>
      <c r="P544" s="71"/>
      <c r="Q544" s="204"/>
      <c r="R544" s="44"/>
      <c r="S544" s="44"/>
      <c r="T544" s="44"/>
    </row>
    <row r="545" spans="2:20" hidden="1" x14ac:dyDescent="0.25">
      <c r="B545" s="205" t="s">
        <v>479</v>
      </c>
      <c r="C545" s="2"/>
      <c r="D545" s="76"/>
      <c r="E545" s="192" t="s">
        <v>477</v>
      </c>
      <c r="F545" s="71"/>
      <c r="G545" s="193"/>
      <c r="H545" s="72">
        <f>IF(ISNA(VLOOKUP(E545,tableau5c,1,0)),"",VLOOKUP(E545,tableau5c,2,0))</f>
        <v>36</v>
      </c>
      <c r="I545" s="2"/>
      <c r="J545" s="2"/>
      <c r="K545" s="2"/>
      <c r="L545" s="119">
        <f>H545</f>
        <v>36</v>
      </c>
      <c r="M545" s="87"/>
      <c r="N545" s="71"/>
      <c r="O545" s="2"/>
      <c r="P545" s="71"/>
      <c r="Q545" s="204"/>
      <c r="R545" s="44"/>
      <c r="S545" s="44"/>
      <c r="T545" s="44"/>
    </row>
    <row r="546" spans="2:20" hidden="1" x14ac:dyDescent="0.25">
      <c r="B546" s="205" t="s">
        <v>480</v>
      </c>
      <c r="C546" s="2"/>
      <c r="D546" s="71"/>
      <c r="E546" s="192" t="s">
        <v>477</v>
      </c>
      <c r="F546" s="71"/>
      <c r="G546" s="193"/>
      <c r="H546" s="72">
        <f>IF(ISNA(VLOOKUP(E546,tableau5c,1,0)),"",VLOOKUP(E546,tableau5c,2,0))</f>
        <v>36</v>
      </c>
      <c r="I546" s="2"/>
      <c r="J546" s="2"/>
      <c r="K546" s="2"/>
      <c r="L546" s="119">
        <f>H546</f>
        <v>36</v>
      </c>
      <c r="M546" s="87"/>
      <c r="N546" s="71"/>
      <c r="O546" s="2"/>
      <c r="P546" s="87"/>
      <c r="Q546" s="204"/>
      <c r="R546" s="44"/>
      <c r="S546" s="44"/>
      <c r="T546" s="44"/>
    </row>
    <row r="547" spans="2:20" hidden="1" x14ac:dyDescent="0.25">
      <c r="B547" s="206"/>
      <c r="C547" s="111"/>
      <c r="D547" s="111"/>
      <c r="E547" s="111"/>
      <c r="F547" s="111"/>
      <c r="G547" s="111"/>
      <c r="H547" s="111"/>
      <c r="I547" s="111"/>
      <c r="J547" s="111"/>
      <c r="K547" s="111"/>
      <c r="L547" s="111"/>
      <c r="M547" s="111"/>
      <c r="N547" s="77"/>
      <c r="O547" s="77"/>
      <c r="P547" s="77"/>
      <c r="Q547" s="207"/>
      <c r="R547" s="44"/>
      <c r="S547" s="44"/>
      <c r="T547" s="44"/>
    </row>
    <row r="548" spans="2:20" x14ac:dyDescent="0.25">
      <c r="R548" s="44"/>
      <c r="S548" s="44"/>
      <c r="T548" s="44"/>
    </row>
    <row r="549" spans="2:20" ht="15.75" hidden="1" customHeight="1" x14ac:dyDescent="0.25">
      <c r="E549" t="s">
        <v>451</v>
      </c>
    </row>
    <row r="550" spans="2:20" ht="15.75" hidden="1" customHeight="1" x14ac:dyDescent="0.25">
      <c r="E550" s="107">
        <v>1</v>
      </c>
      <c r="F550" s="195">
        <v>0.15</v>
      </c>
      <c r="G550" s="191">
        <v>10</v>
      </c>
      <c r="H550" s="191">
        <f>G550*3.6</f>
        <v>36</v>
      </c>
    </row>
    <row r="551" spans="2:20" ht="15.75" hidden="1" customHeight="1" x14ac:dyDescent="0.25">
      <c r="E551" s="107">
        <v>2</v>
      </c>
      <c r="F551" s="195">
        <v>0.2</v>
      </c>
      <c r="G551" s="191">
        <v>7</v>
      </c>
      <c r="H551" s="191">
        <f>G551*3.6</f>
        <v>25.2</v>
      </c>
    </row>
    <row r="552" spans="2:20" ht="15.75" hidden="1" customHeight="1" x14ac:dyDescent="0.25">
      <c r="E552" s="107">
        <v>3</v>
      </c>
      <c r="F552" s="195">
        <v>0.3</v>
      </c>
      <c r="G552" s="191">
        <v>4</v>
      </c>
      <c r="H552" s="191">
        <f>G552*3.6</f>
        <v>14.4</v>
      </c>
    </row>
    <row r="553" spans="2:20" ht="15.75" hidden="1" customHeight="1" x14ac:dyDescent="0.25">
      <c r="E553" s="107">
        <v>4</v>
      </c>
      <c r="F553" s="191" t="s">
        <v>458</v>
      </c>
      <c r="G553" s="191" t="s">
        <v>450</v>
      </c>
      <c r="H553" s="191">
        <v>10</v>
      </c>
    </row>
    <row r="554" spans="2:20" ht="15.75" hidden="1" customHeight="1" x14ac:dyDescent="0.25"/>
    <row r="555" spans="2:20" ht="15.75" hidden="1" customHeight="1" x14ac:dyDescent="0.25">
      <c r="E555" t="s">
        <v>455</v>
      </c>
    </row>
    <row r="556" spans="2:20" ht="15.75" hidden="1" customHeight="1" x14ac:dyDescent="0.25">
      <c r="E556" s="107"/>
      <c r="F556" s="107"/>
      <c r="G556" s="107" t="s">
        <v>452</v>
      </c>
      <c r="H556" s="107" t="s">
        <v>453</v>
      </c>
      <c r="I556" s="107" t="s">
        <v>454</v>
      </c>
      <c r="J556" s="107"/>
      <c r="K556" s="107"/>
    </row>
    <row r="557" spans="2:20" ht="15.75" hidden="1" customHeight="1" x14ac:dyDescent="0.25">
      <c r="E557" s="107">
        <v>1</v>
      </c>
      <c r="F557" s="195">
        <v>0.15</v>
      </c>
      <c r="G557" s="107">
        <f>0.5*3.6</f>
        <v>1.8</v>
      </c>
      <c r="H557" s="107">
        <f>1*3.6</f>
        <v>3.6</v>
      </c>
      <c r="I557" s="107">
        <f>2*3.6</f>
        <v>7.2</v>
      </c>
      <c r="J557" s="107" t="s">
        <v>452</v>
      </c>
      <c r="K557" s="107">
        <f>IF(ISNA(VLOOKUP(choix_insatisfaits,tableau1c,2,0)),"",VLOOKUP(choix_insatisfaits,tableau1c,2,0))</f>
        <v>1.08</v>
      </c>
    </row>
    <row r="558" spans="2:20" ht="15.75" hidden="1" customHeight="1" x14ac:dyDescent="0.25">
      <c r="E558" s="107">
        <v>2</v>
      </c>
      <c r="F558" s="195">
        <v>0.2</v>
      </c>
      <c r="G558" s="107">
        <f>0.35*3.6</f>
        <v>1.26</v>
      </c>
      <c r="H558" s="107">
        <f>0.7*3.6</f>
        <v>2.52</v>
      </c>
      <c r="I558" s="107">
        <f>1.4*3.6</f>
        <v>5.04</v>
      </c>
      <c r="J558" s="107" t="s">
        <v>453</v>
      </c>
      <c r="K558" s="107">
        <f>IF(ISNA(VLOOKUP(choix_insatisfaits,tableau1c,2,0)),"",VLOOKUP(choix_insatisfaits,tableau1c,3,0))</f>
        <v>1.4400000000000002</v>
      </c>
    </row>
    <row r="559" spans="2:20" ht="15.75" hidden="1" customHeight="1" x14ac:dyDescent="0.25">
      <c r="E559" s="107">
        <v>3</v>
      </c>
      <c r="F559" s="195">
        <v>0.3</v>
      </c>
      <c r="G559" s="107">
        <f>0.3*3.6</f>
        <v>1.08</v>
      </c>
      <c r="H559" s="107">
        <f>0.4*3.6</f>
        <v>1.4400000000000002</v>
      </c>
      <c r="I559" s="107">
        <f>0.8*3.6</f>
        <v>2.8800000000000003</v>
      </c>
      <c r="J559" s="107" t="s">
        <v>454</v>
      </c>
      <c r="K559" s="107">
        <f>IF(ISNA(VLOOKUP(choix_insatisfaits,tableau1c,2,0)),"",VLOOKUP(choix_insatisfaits,tableau1c,4,0))</f>
        <v>2.8800000000000003</v>
      </c>
    </row>
    <row r="560" spans="2:20" ht="15.75" hidden="1" customHeight="1" x14ac:dyDescent="0.25">
      <c r="E560" s="107">
        <v>4</v>
      </c>
      <c r="F560" s="191" t="s">
        <v>458</v>
      </c>
      <c r="G560" s="107">
        <v>0</v>
      </c>
      <c r="H560" s="107">
        <v>0</v>
      </c>
      <c r="I560" s="107">
        <v>0</v>
      </c>
      <c r="J560" s="107"/>
      <c r="K560" s="107"/>
    </row>
    <row r="561" spans="5:17" ht="15.75" hidden="1" customHeight="1" x14ac:dyDescent="0.25"/>
    <row r="562" spans="5:17" ht="15.75" hidden="1" customHeight="1" x14ac:dyDescent="0.25">
      <c r="E562" t="s">
        <v>467</v>
      </c>
    </row>
    <row r="563" spans="5:17" ht="15.75" hidden="1" customHeight="1" x14ac:dyDescent="0.25">
      <c r="E563" s="107"/>
      <c r="F563" s="107"/>
      <c r="G563" s="107"/>
      <c r="H563" s="107"/>
      <c r="I563" s="107" t="s">
        <v>468</v>
      </c>
      <c r="J563" s="107"/>
      <c r="K563" s="107" t="s">
        <v>475</v>
      </c>
      <c r="L563" s="107" t="s">
        <v>476</v>
      </c>
      <c r="M563" s="107" t="s">
        <v>477</v>
      </c>
      <c r="P563" s="107" t="str">
        <f>K563</f>
        <v>cuisine</v>
      </c>
      <c r="Q563" s="107">
        <f>K568</f>
        <v>50.4</v>
      </c>
    </row>
    <row r="564" spans="5:17" ht="15.75" hidden="1" customHeight="1" x14ac:dyDescent="0.25">
      <c r="E564" s="107">
        <v>1</v>
      </c>
      <c r="F564" s="195">
        <v>0.15</v>
      </c>
      <c r="G564" s="107">
        <f>0.49*3.6</f>
        <v>1.764</v>
      </c>
      <c r="H564" s="107">
        <v>0.7</v>
      </c>
      <c r="I564" s="107">
        <f>10*3.6</f>
        <v>36</v>
      </c>
      <c r="J564" s="107">
        <f>1.4*3.6</f>
        <v>5.04</v>
      </c>
      <c r="K564" s="107">
        <f>28*3.6</f>
        <v>100.8</v>
      </c>
      <c r="L564" s="107">
        <f>20*3.6</f>
        <v>72</v>
      </c>
      <c r="M564" s="107">
        <f>14*3.6</f>
        <v>50.4</v>
      </c>
      <c r="P564" s="107" t="str">
        <f>L563</f>
        <v>salle de bains</v>
      </c>
      <c r="Q564" s="107">
        <f>L568</f>
        <v>36</v>
      </c>
    </row>
    <row r="565" spans="5:17" ht="15.75" hidden="1" customHeight="1" x14ac:dyDescent="0.25">
      <c r="E565" s="107">
        <v>2</v>
      </c>
      <c r="F565" s="195">
        <v>0.2</v>
      </c>
      <c r="G565" s="107">
        <f>0.42*3.6</f>
        <v>1.512</v>
      </c>
      <c r="H565" s="107">
        <v>0.6</v>
      </c>
      <c r="I565" s="107">
        <f>7*3.6</f>
        <v>25.2</v>
      </c>
      <c r="J565" s="107">
        <f>1*3.6</f>
        <v>3.6</v>
      </c>
      <c r="K565" s="107">
        <f>20*3.6</f>
        <v>72</v>
      </c>
      <c r="L565" s="107">
        <f>15*3.6</f>
        <v>54</v>
      </c>
      <c r="M565" s="107">
        <f>10*3.6</f>
        <v>36</v>
      </c>
      <c r="P565" s="107" t="str">
        <f>M563</f>
        <v>toilettes</v>
      </c>
      <c r="Q565" s="107">
        <f>M568</f>
        <v>36</v>
      </c>
    </row>
    <row r="566" spans="5:17" ht="15.75" hidden="1" customHeight="1" x14ac:dyDescent="0.25">
      <c r="E566" s="107">
        <v>3</v>
      </c>
      <c r="F566" s="195">
        <v>0.3</v>
      </c>
      <c r="G566" s="107">
        <f>0.35*3.6</f>
        <v>1.26</v>
      </c>
      <c r="H566" s="107">
        <v>0.5</v>
      </c>
      <c r="I566" s="107">
        <f>4*3.6</f>
        <v>14.4</v>
      </c>
      <c r="J566" s="107">
        <f>0.6*3.6</f>
        <v>2.16</v>
      </c>
      <c r="K566" s="107">
        <f>14*3.6</f>
        <v>50.4</v>
      </c>
      <c r="L566" s="107">
        <f>10*3.6</f>
        <v>36</v>
      </c>
      <c r="M566" s="107">
        <f>7*3.6</f>
        <v>25.2</v>
      </c>
    </row>
    <row r="567" spans="5:17" ht="15.75" hidden="1" customHeight="1" x14ac:dyDescent="0.25">
      <c r="E567" s="107">
        <v>4</v>
      </c>
      <c r="F567" s="191" t="s">
        <v>458</v>
      </c>
      <c r="G567" s="107"/>
      <c r="H567" s="107"/>
      <c r="I567" s="107"/>
      <c r="J567" s="107"/>
      <c r="K567" s="107"/>
      <c r="L567" s="107"/>
      <c r="M567" s="107"/>
    </row>
    <row r="568" spans="5:17" ht="15.75" hidden="1" customHeight="1" x14ac:dyDescent="0.25">
      <c r="K568">
        <f>IF(ISNA(VLOOKUP(choix_insatisfaits,tableau5b,2,0)),"",VLOOKUP(choix_insatisfaits,tableau5b,6,0))</f>
        <v>50.4</v>
      </c>
      <c r="L568">
        <f>IF(ISNA(VLOOKUP(choix_insatisfaits,tableau5b,2,0)),"",VLOOKUP(choix_insatisfaits,tableau5b,7,0))</f>
        <v>36</v>
      </c>
      <c r="M568">
        <f>IF(ISNA(VLOOKUP(choix_insatisfaits,tableau5b,2,0)),"",VLOOKUP(choix_insatisfaits,tableau5b,7,0))</f>
        <v>36</v>
      </c>
    </row>
    <row r="569" spans="5:17" ht="15.75" hidden="1" customHeight="1" x14ac:dyDescent="0.25"/>
    <row r="570" spans="5:17" ht="15.75" hidden="1" customHeight="1" x14ac:dyDescent="0.25"/>
  </sheetData>
  <sheetProtection selectLockedCells="1"/>
  <mergeCells count="63">
    <mergeCell ref="M515:O515"/>
    <mergeCell ref="N312:P314"/>
    <mergeCell ref="H40:K41"/>
    <mergeCell ref="E52:E55"/>
    <mergeCell ref="H38:J38"/>
    <mergeCell ref="H60:P62"/>
    <mergeCell ref="D89:L94"/>
    <mergeCell ref="C128:P128"/>
    <mergeCell ref="C148:P150"/>
    <mergeCell ref="O3:Q3"/>
    <mergeCell ref="O219:O222"/>
    <mergeCell ref="F219:F222"/>
    <mergeCell ref="H58:L58"/>
    <mergeCell ref="O52:O55"/>
    <mergeCell ref="L142:P142"/>
    <mergeCell ref="H48:L48"/>
    <mergeCell ref="J24:M24"/>
    <mergeCell ref="B15:Q15"/>
    <mergeCell ref="B2:M3"/>
    <mergeCell ref="C154:J154"/>
    <mergeCell ref="L141:P141"/>
    <mergeCell ref="L145:P145"/>
    <mergeCell ref="C12:I12"/>
    <mergeCell ref="M12:Q12"/>
    <mergeCell ref="H64:L64"/>
    <mergeCell ref="R74:V77"/>
    <mergeCell ref="H29:J29"/>
    <mergeCell ref="H45:P46"/>
    <mergeCell ref="L226:O226"/>
    <mergeCell ref="L225:O225"/>
    <mergeCell ref="H66:P68"/>
    <mergeCell ref="J217:N217"/>
    <mergeCell ref="J216:N216"/>
    <mergeCell ref="H72:L72"/>
    <mergeCell ref="H79:L79"/>
    <mergeCell ref="H70:L70"/>
    <mergeCell ref="L144:P144"/>
    <mergeCell ref="B211:Q211"/>
    <mergeCell ref="N207:P209"/>
    <mergeCell ref="H50:L50"/>
    <mergeCell ref="I52:M52"/>
    <mergeCell ref="H27:J27"/>
    <mergeCell ref="B9:E9"/>
    <mergeCell ref="K9:Q9"/>
    <mergeCell ref="G528:J528"/>
    <mergeCell ref="I219:M219"/>
    <mergeCell ref="J233:K233"/>
    <mergeCell ref="B441:C441"/>
    <mergeCell ref="B421:Q421"/>
    <mergeCell ref="B383:Q383"/>
    <mergeCell ref="F233:G233"/>
    <mergeCell ref="B440:Q440"/>
    <mergeCell ref="B479:Q479"/>
    <mergeCell ref="M513:O513"/>
    <mergeCell ref="H31:J31"/>
    <mergeCell ref="H33:J33"/>
    <mergeCell ref="C530:F530"/>
    <mergeCell ref="B535:Q535"/>
    <mergeCell ref="B521:Q521"/>
    <mergeCell ref="G523:J523"/>
    <mergeCell ref="C523:F523"/>
    <mergeCell ref="C525:F525"/>
    <mergeCell ref="C528:F528"/>
  </mergeCells>
  <conditionalFormatting sqref="L144:L145">
    <cfRule type="dataBar" priority="140">
      <dataBar>
        <cfvo type="num" val="0"/>
        <cfvo type="num" val="1"/>
        <color rgb="FF92D050"/>
      </dataBar>
    </cfRule>
  </conditionalFormatting>
  <conditionalFormatting sqref="L142">
    <cfRule type="dataBar" priority="137">
      <dataBar showValue="0">
        <cfvo type="num" val="0"/>
        <cfvo type="num" val="0.35"/>
        <color rgb="FF92D050"/>
      </dataBar>
    </cfRule>
  </conditionalFormatting>
  <conditionalFormatting sqref="L141">
    <cfRule type="dataBar" priority="11">
      <dataBar>
        <cfvo type="num" val="0"/>
        <cfvo type="num" val="20"/>
        <color rgb="FF92D050"/>
      </dataBar>
    </cfRule>
  </conditionalFormatting>
  <conditionalFormatting sqref="J235">
    <cfRule type="cellIs" dxfId="61" priority="145" stopIfTrue="1" operator="lessThan">
      <formula>$F$235</formula>
    </cfRule>
    <cfRule type="cellIs" dxfId="60" priority="146" stopIfTrue="1" operator="greaterThan">
      <formula>$F$235</formula>
    </cfRule>
  </conditionalFormatting>
  <conditionalFormatting sqref="J236">
    <cfRule type="cellIs" dxfId="59" priority="180" stopIfTrue="1" operator="greaterThan">
      <formula>$F$236</formula>
    </cfRule>
    <cfRule type="cellIs" dxfId="58" priority="181" stopIfTrue="1" operator="lessThan">
      <formula>$F$236</formula>
    </cfRule>
  </conditionalFormatting>
  <conditionalFormatting sqref="J237">
    <cfRule type="cellIs" dxfId="57" priority="192" stopIfTrue="1" operator="greaterThan">
      <formula>$F$237</formula>
    </cfRule>
    <cfRule type="cellIs" dxfId="56" priority="193" stopIfTrue="1" operator="lessThan">
      <formula>$F$237</formula>
    </cfRule>
  </conditionalFormatting>
  <conditionalFormatting sqref="J239">
    <cfRule type="cellIs" dxfId="55" priority="200" stopIfTrue="1" operator="lessThan">
      <formula>F$239</formula>
    </cfRule>
    <cfRule type="cellIs" dxfId="54" priority="201" stopIfTrue="1" operator="greaterThan">
      <formula>F$239</formula>
    </cfRule>
  </conditionalFormatting>
  <conditionalFormatting sqref="J240">
    <cfRule type="cellIs" dxfId="53" priority="208" stopIfTrue="1" operator="lessThan">
      <formula>F$240</formula>
    </cfRule>
    <cfRule type="cellIs" dxfId="52" priority="209" stopIfTrue="1" operator="greaterThan">
      <formula>F$240</formula>
    </cfRule>
  </conditionalFormatting>
  <conditionalFormatting sqref="J242">
    <cfRule type="cellIs" dxfId="51" priority="216" stopIfTrue="1" operator="lessThan">
      <formula>F$242</formula>
    </cfRule>
    <cfRule type="cellIs" dxfId="50" priority="217" stopIfTrue="1" operator="greaterThan">
      <formula>F$242</formula>
    </cfRule>
  </conditionalFormatting>
  <conditionalFormatting sqref="J243">
    <cfRule type="cellIs" dxfId="49" priority="224" stopIfTrue="1" operator="lessThan">
      <formula>F$243</formula>
    </cfRule>
    <cfRule type="cellIs" dxfId="48" priority="225" stopIfTrue="1" operator="greaterThan">
      <formula>F$243</formula>
    </cfRule>
  </conditionalFormatting>
  <conditionalFormatting sqref="J244">
    <cfRule type="cellIs" dxfId="47" priority="232" stopIfTrue="1" operator="lessThan">
      <formula>F$244</formula>
    </cfRule>
    <cfRule type="cellIs" dxfId="46" priority="233" stopIfTrue="1" operator="greaterThan">
      <formula>F$244</formula>
    </cfRule>
  </conditionalFormatting>
  <conditionalFormatting sqref="J245">
    <cfRule type="cellIs" dxfId="45" priority="240" stopIfTrue="1" operator="lessThan">
      <formula>F$245</formula>
    </cfRule>
    <cfRule type="cellIs" dxfId="44" priority="241" stopIfTrue="1" operator="greaterThan">
      <formula>F$245</formula>
    </cfRule>
  </conditionalFormatting>
  <conditionalFormatting sqref="J245">
    <cfRule type="cellIs" dxfId="43" priority="250" stopIfTrue="1" operator="lessThan">
      <formula>J$245</formula>
    </cfRule>
    <cfRule type="cellIs" dxfId="42" priority="251" stopIfTrue="1" operator="greaterThan">
      <formula>J$245</formula>
    </cfRule>
  </conditionalFormatting>
  <conditionalFormatting sqref="J247">
    <cfRule type="cellIs" dxfId="41" priority="283" stopIfTrue="1" operator="greaterThan">
      <formula>$F$247</formula>
    </cfRule>
    <cfRule type="cellIs" dxfId="40" priority="284" stopIfTrue="1" operator="lessThan">
      <formula>$F$247</formula>
    </cfRule>
  </conditionalFormatting>
  <conditionalFormatting sqref="F235">
    <cfRule type="cellIs" dxfId="39" priority="308" stopIfTrue="1" operator="lessThan">
      <formula>J$235</formula>
    </cfRule>
    <cfRule type="cellIs" dxfId="38" priority="309" stopIfTrue="1" operator="greaterThan">
      <formula>J$235</formula>
    </cfRule>
  </conditionalFormatting>
  <conditionalFormatting sqref="F236">
    <cfRule type="cellIs" dxfId="37" priority="310" stopIfTrue="1" operator="greaterThan">
      <formula>J$236</formula>
    </cfRule>
    <cfRule type="cellIs" dxfId="36" priority="311" stopIfTrue="1" operator="lessThan">
      <formula>J$236</formula>
    </cfRule>
  </conditionalFormatting>
  <conditionalFormatting sqref="D231">
    <cfRule type="cellIs" dxfId="35" priority="312" stopIfTrue="1" operator="lessThan">
      <formula>J$236</formula>
    </cfRule>
    <cfRule type="cellIs" dxfId="34" priority="313" stopIfTrue="1" operator="greaterThan">
      <formula>J$236</formula>
    </cfRule>
  </conditionalFormatting>
  <conditionalFormatting sqref="F237">
    <cfRule type="cellIs" dxfId="33" priority="314" stopIfTrue="1" operator="lessThan">
      <formula>J$237</formula>
    </cfRule>
  </conditionalFormatting>
  <conditionalFormatting sqref="F237">
    <cfRule type="cellIs" dxfId="32" priority="315" stopIfTrue="1" operator="greaterThan">
      <formula>J$237</formula>
    </cfRule>
  </conditionalFormatting>
  <conditionalFormatting sqref="F239">
    <cfRule type="cellIs" dxfId="31" priority="316" stopIfTrue="1" operator="lessThan">
      <formula>J$239</formula>
    </cfRule>
    <cfRule type="cellIs" dxfId="30" priority="317" stopIfTrue="1" operator="greaterThan">
      <formula>J$239</formula>
    </cfRule>
  </conditionalFormatting>
  <conditionalFormatting sqref="F240">
    <cfRule type="cellIs" dxfId="29" priority="318" stopIfTrue="1" operator="lessThan">
      <formula>J$240</formula>
    </cfRule>
    <cfRule type="cellIs" dxfId="28" priority="319" stopIfTrue="1" operator="greaterThan">
      <formula>J$240</formula>
    </cfRule>
  </conditionalFormatting>
  <conditionalFormatting sqref="F242">
    <cfRule type="cellIs" dxfId="27" priority="320" stopIfTrue="1" operator="lessThan">
      <formula>J$242</formula>
    </cfRule>
    <cfRule type="cellIs" dxfId="26" priority="321" stopIfTrue="1" operator="greaterThan">
      <formula>J$242</formula>
    </cfRule>
  </conditionalFormatting>
  <conditionalFormatting sqref="F243">
    <cfRule type="cellIs" dxfId="25" priority="322" stopIfTrue="1" operator="lessThan">
      <formula>J$243</formula>
    </cfRule>
    <cfRule type="cellIs" dxfId="24" priority="323" stopIfTrue="1" operator="greaterThan">
      <formula>J$243</formula>
    </cfRule>
  </conditionalFormatting>
  <conditionalFormatting sqref="F244">
    <cfRule type="cellIs" dxfId="23" priority="324" stopIfTrue="1" operator="lessThan">
      <formula>J$244</formula>
    </cfRule>
    <cfRule type="cellIs" dxfId="22" priority="325" stopIfTrue="1" operator="greaterThan">
      <formula>J$244</formula>
    </cfRule>
  </conditionalFormatting>
  <conditionalFormatting sqref="F245">
    <cfRule type="cellIs" dxfId="21" priority="326" stopIfTrue="1" operator="lessThan">
      <formula>J$245</formula>
    </cfRule>
    <cfRule type="cellIs" dxfId="20" priority="327" stopIfTrue="1" operator="greaterThan">
      <formula>J$245</formula>
    </cfRule>
  </conditionalFormatting>
  <conditionalFormatting sqref="F245">
    <cfRule type="cellIs" dxfId="19" priority="330" stopIfTrue="1" operator="lessThan">
      <formula>J$245</formula>
    </cfRule>
    <cfRule type="cellIs" dxfId="18" priority="331" stopIfTrue="1" operator="greaterThan">
      <formula>J$245</formula>
    </cfRule>
  </conditionalFormatting>
  <conditionalFormatting sqref="F247">
    <cfRule type="cellIs" dxfId="17" priority="332" stopIfTrue="1" operator="greaterThan">
      <formula>$J$247</formula>
    </cfRule>
    <cfRule type="cellIs" dxfId="16" priority="333" stopIfTrue="1" operator="lessThan">
      <formula>$J$247</formula>
    </cfRule>
  </conditionalFormatting>
  <conditionalFormatting sqref="J248">
    <cfRule type="cellIs" dxfId="15" priority="349" stopIfTrue="1" operator="greaterThan">
      <formula>$F$248</formula>
    </cfRule>
    <cfRule type="cellIs" dxfId="14" priority="350" stopIfTrue="1" operator="lessThan">
      <formula>$F$248</formula>
    </cfRule>
  </conditionalFormatting>
  <conditionalFormatting sqref="F248">
    <cfRule type="cellIs" dxfId="13" priority="362" stopIfTrue="1" operator="greaterThan">
      <formula>$J$248</formula>
    </cfRule>
    <cfRule type="cellIs" dxfId="12" priority="363" stopIfTrue="1" operator="lessThan">
      <formula>$J$248</formula>
    </cfRule>
  </conditionalFormatting>
  <conditionalFormatting sqref="J249">
    <cfRule type="cellIs" dxfId="11" priority="368" stopIfTrue="1" operator="lessThan">
      <formula>$F$249</formula>
    </cfRule>
    <cfRule type="cellIs" dxfId="10" priority="369" stopIfTrue="1" operator="greaterThan">
      <formula>$F$249</formula>
    </cfRule>
  </conditionalFormatting>
  <conditionalFormatting sqref="F249">
    <cfRule type="cellIs" dxfId="9" priority="372" stopIfTrue="1" operator="lessThan">
      <formula>$J$249</formula>
    </cfRule>
    <cfRule type="cellIs" dxfId="8" priority="373" stopIfTrue="1" operator="greaterThan">
      <formula>$J$249</formula>
    </cfRule>
  </conditionalFormatting>
  <conditionalFormatting sqref="J250">
    <cfRule type="cellIs" dxfId="7" priority="376" stopIfTrue="1" operator="lessThan">
      <formula>$F$250</formula>
    </cfRule>
    <cfRule type="cellIs" dxfId="6" priority="377" stopIfTrue="1" operator="greaterThan">
      <formula>$F$250</formula>
    </cfRule>
  </conditionalFormatting>
  <conditionalFormatting sqref="F250">
    <cfRule type="cellIs" dxfId="5" priority="380" stopIfTrue="1" operator="lessThan">
      <formula>$J$250</formula>
    </cfRule>
    <cfRule type="cellIs" dxfId="4" priority="381" stopIfTrue="1" operator="greaterThan">
      <formula>$J$250</formula>
    </cfRule>
  </conditionalFormatting>
  <conditionalFormatting sqref="J251">
    <cfRule type="cellIs" dxfId="3" priority="385" stopIfTrue="1" operator="greaterThan">
      <formula>$F$251</formula>
    </cfRule>
    <cfRule type="cellIs" dxfId="2" priority="386" stopIfTrue="1" operator="lessThan">
      <formula>$F$251</formula>
    </cfRule>
  </conditionalFormatting>
  <conditionalFormatting sqref="F251">
    <cfRule type="cellIs" dxfId="1" priority="390" stopIfTrue="1" operator="greaterThan">
      <formula>$J$251</formula>
    </cfRule>
    <cfRule type="cellIs" dxfId="0" priority="391" stopIfTrue="1" operator="lessThan">
      <formula>$J$251</formula>
    </cfRule>
  </conditionalFormatting>
  <dataValidations count="14">
    <dataValidation type="list" allowBlank="1" showInputMessage="1" showErrorMessage="1" sqref="J216 H48">
      <formula1>vmc</formula1>
    </dataValidation>
    <dataValidation type="list" allowBlank="1" showInputMessage="1" showErrorMessage="1" sqref="H64 L224:L225 H70">
      <formula1>ouinon</formula1>
    </dataValidation>
    <dataValidation type="list" allowBlank="1" showInputMessage="1" showErrorMessage="1" sqref="J217:N217 H50:L50">
      <formula1>Selection_caisson</formula1>
    </dataValidation>
    <dataValidation type="list" allowBlank="1" showInputMessage="1" showErrorMessage="1" sqref="H33">
      <formula1>Selection_surchauffe</formula1>
    </dataValidation>
    <dataValidation type="list" allowBlank="1" showInputMessage="1" showErrorMessage="1" sqref="H31">
      <formula1>Selection_protectionvent</formula1>
    </dataValidation>
    <dataValidation type="list" allowBlank="1" showInputMessage="1" showErrorMessage="1" sqref="H29:J29">
      <formula1>Selection_exposition</formula1>
    </dataValidation>
    <dataValidation type="list" allowBlank="1" showInputMessage="1" showErrorMessage="1" sqref="H27">
      <formula1>meteo</formula1>
    </dataValidation>
    <dataValidation type="list" allowBlank="1" showInputMessage="1" showErrorMessage="1" sqref="H38">
      <formula1>Selection_niveaun50</formula1>
    </dataValidation>
    <dataValidation type="list" allowBlank="1" showInputMessage="1" showErrorMessage="1" sqref="H72:L72">
      <formula1>Selection_rolepc</formula1>
    </dataValidation>
    <dataValidation type="list" allowBlank="1" showInputMessage="1" showErrorMessage="1" sqref="H79:L79">
      <formula1>$S$79:$S$80</formula1>
    </dataValidation>
    <dataValidation type="list" allowBlank="1" showInputMessage="1" showErrorMessage="1" sqref="G523:J523">
      <formula1>insatisfaits</formula1>
    </dataValidation>
    <dataValidation type="list" allowBlank="1" showInputMessage="1" showErrorMessage="1" sqref="G528:J528">
      <formula1>$G$556:$I$556</formula1>
    </dataValidation>
    <dataValidation type="list" allowBlank="1" showInputMessage="1" showErrorMessage="1" sqref="E543:E546">
      <formula1>$K$563:$M$563</formula1>
    </dataValidation>
    <dataValidation type="list" allowBlank="1" showInputMessage="1" showErrorMessage="1" sqref="H58:L58 L226">
      <formula1>Selection_type_conduits</formula1>
    </dataValidation>
  </dataValidations>
  <hyperlinks>
    <hyperlink ref="B157" location="'Calcul rentabilité VMC'!A136" display="Résultats détaillés ici -&gt;"/>
    <hyperlink ref="J24" location="'Calcul rentabilité VMC'!B475" display="Détail du calcul des débits ici"/>
    <hyperlink ref="M513" location="'Calcul rentabilité VMC'!A1" display="Revenir sur la selection"/>
    <hyperlink ref="O217" location="'Base données'!A20" display="Ajouter un caisson de ventilation"/>
    <hyperlink ref="N23:P23" location="'Calcul rentabilité VMC'!B470" display="Détail du calcul des débits ici"/>
    <hyperlink ref="H40" location="Lexique!B55" display="En savoir plus sur les niveaux considérés"/>
    <hyperlink ref="M48" location="Lexique!B67" display="En savoir plus"/>
    <hyperlink ref="N153" location="Lexique!B153" display="-&gt; En savoir plus"/>
    <hyperlink ref="O216" location="Lexique!B67" display="En savoir plus"/>
    <hyperlink ref="M58" location="Lexique!B155" display="Ajouter des types de conduits"/>
    <hyperlink ref="M50" location="'Base données'!A1" display="Ajouter des modèles de VMC"/>
    <hyperlink ref="B180" location="Lexique!B170" display="Lecture des diagrammes : en savoir plus"/>
    <hyperlink ref="M515" location="Lexique!B89" display="Changer valeurs type "/>
    <hyperlink ref="O3" location="'Notes de version'!D1" display="Problèmes d'affichage  ? Voir ici"/>
  </hyperlinks>
  <pageMargins left="0.19685039370078741" right="0.23622047244094491" top="0.23622047244094491" bottom="0.31496062992125984" header="0.23622047244094491" footer="0.19685039370078741"/>
  <pageSetup paperSize="9" scale="50" firstPageNumber="0" orientation="portrait" horizontalDpi="300" verticalDpi="300" r:id="rId1"/>
  <headerFooter alignWithMargins="0"/>
  <rowBreaks count="3" manualBreakCount="3">
    <brk id="41" min="1" max="16" man="1"/>
    <brk id="104" min="1" max="16" man="1"/>
    <brk id="210" min="1" max="16"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zoomScaleNormal="100" workbookViewId="0">
      <selection activeCell="A23" sqref="A23"/>
    </sheetView>
  </sheetViews>
  <sheetFormatPr baseColWidth="10" defaultColWidth="11.25" defaultRowHeight="16.5" x14ac:dyDescent="0.3"/>
  <cols>
    <col min="1" max="1" width="26.5" style="216" customWidth="1"/>
    <col min="2" max="5" width="11.25" style="216"/>
    <col min="6" max="6" width="12.125" style="216" customWidth="1"/>
    <col min="7" max="7" width="12.75" style="216" customWidth="1"/>
    <col min="8" max="16384" width="11.25" style="216"/>
  </cols>
  <sheetData>
    <row r="1" spans="1:22" s="236" customFormat="1" ht="63" customHeight="1" x14ac:dyDescent="0.25">
      <c r="A1" s="235" t="s">
        <v>7</v>
      </c>
      <c r="B1" s="235" t="s">
        <v>181</v>
      </c>
      <c r="C1" s="235" t="s">
        <v>178</v>
      </c>
      <c r="D1" s="235" t="s">
        <v>179</v>
      </c>
      <c r="E1" s="235" t="s">
        <v>180</v>
      </c>
      <c r="F1" s="235" t="s">
        <v>482</v>
      </c>
      <c r="G1" s="235" t="s">
        <v>483</v>
      </c>
      <c r="H1" s="235" t="s">
        <v>581</v>
      </c>
      <c r="I1" s="235" t="s">
        <v>582</v>
      </c>
      <c r="J1" s="235" t="s">
        <v>222</v>
      </c>
      <c r="K1" s="235" t="s">
        <v>220</v>
      </c>
      <c r="L1" s="235" t="s">
        <v>221</v>
      </c>
      <c r="M1" s="235" t="s">
        <v>333</v>
      </c>
      <c r="N1" s="235" t="s">
        <v>584</v>
      </c>
      <c r="O1" s="235" t="s">
        <v>585</v>
      </c>
      <c r="P1" s="235" t="s">
        <v>586</v>
      </c>
      <c r="Q1" s="235" t="s">
        <v>188</v>
      </c>
      <c r="R1" s="235" t="s">
        <v>189</v>
      </c>
      <c r="S1" s="235" t="s">
        <v>190</v>
      </c>
      <c r="T1" s="235" t="s">
        <v>522</v>
      </c>
      <c r="U1" s="235" t="s">
        <v>523</v>
      </c>
      <c r="V1" s="235" t="s">
        <v>524</v>
      </c>
    </row>
    <row r="2" spans="1:22" x14ac:dyDescent="0.3">
      <c r="A2" s="212" t="s">
        <v>285</v>
      </c>
      <c r="B2" s="212" t="s">
        <v>276</v>
      </c>
      <c r="C2" s="211">
        <v>0</v>
      </c>
      <c r="D2" s="211">
        <v>500</v>
      </c>
      <c r="E2" s="211">
        <v>0.15</v>
      </c>
      <c r="F2" s="213">
        <v>0</v>
      </c>
      <c r="G2" s="214">
        <v>0</v>
      </c>
      <c r="H2" s="215" t="s">
        <v>276</v>
      </c>
      <c r="I2" s="215" t="s">
        <v>276</v>
      </c>
      <c r="J2" s="211" t="s">
        <v>276</v>
      </c>
      <c r="K2" s="211" t="s">
        <v>276</v>
      </c>
      <c r="L2" s="211" t="s">
        <v>276</v>
      </c>
      <c r="M2" s="211">
        <v>650</v>
      </c>
      <c r="N2" s="211"/>
      <c r="O2" s="211"/>
      <c r="P2" s="211"/>
      <c r="Q2" s="211"/>
      <c r="R2" s="211"/>
      <c r="S2" s="211"/>
      <c r="T2" s="211"/>
      <c r="U2" s="211"/>
      <c r="V2" s="211"/>
    </row>
    <row r="3" spans="1:22" x14ac:dyDescent="0.3">
      <c r="A3" s="212" t="s">
        <v>284</v>
      </c>
      <c r="B3" s="212" t="s">
        <v>276</v>
      </c>
      <c r="C3" s="211">
        <v>0</v>
      </c>
      <c r="D3" s="211">
        <v>500</v>
      </c>
      <c r="E3" s="211">
        <v>0.5</v>
      </c>
      <c r="F3" s="213">
        <v>0</v>
      </c>
      <c r="G3" s="214">
        <v>0</v>
      </c>
      <c r="H3" s="215" t="s">
        <v>276</v>
      </c>
      <c r="I3" s="215" t="s">
        <v>276</v>
      </c>
      <c r="J3" s="211" t="s">
        <v>276</v>
      </c>
      <c r="K3" s="211" t="s">
        <v>276</v>
      </c>
      <c r="L3" s="211" t="s">
        <v>276</v>
      </c>
      <c r="M3" s="211"/>
      <c r="N3" s="211"/>
      <c r="O3" s="211"/>
      <c r="P3" s="211"/>
      <c r="Q3" s="211"/>
      <c r="R3" s="211"/>
      <c r="S3" s="211"/>
      <c r="T3" s="211"/>
      <c r="U3" s="211"/>
      <c r="V3" s="211"/>
    </row>
    <row r="4" spans="1:22" x14ac:dyDescent="0.3">
      <c r="A4" s="212" t="s">
        <v>201</v>
      </c>
      <c r="B4" s="212" t="s">
        <v>202</v>
      </c>
      <c r="C4" s="211">
        <v>90</v>
      </c>
      <c r="D4" s="211">
        <v>195</v>
      </c>
      <c r="E4" s="211">
        <v>0.43</v>
      </c>
      <c r="F4" s="213">
        <v>0.85</v>
      </c>
      <c r="G4" s="214">
        <v>0.75</v>
      </c>
      <c r="H4" s="215">
        <v>7.0000000000000007E-2</v>
      </c>
      <c r="I4" s="215">
        <v>0.09</v>
      </c>
      <c r="J4" s="211" t="s">
        <v>276</v>
      </c>
      <c r="K4" s="211">
        <v>36.4</v>
      </c>
      <c r="L4" s="211">
        <v>56.5</v>
      </c>
      <c r="M4" s="211">
        <v>1698</v>
      </c>
      <c r="N4" s="211"/>
      <c r="O4" s="211"/>
      <c r="P4" s="211"/>
      <c r="Q4" s="211">
        <v>160</v>
      </c>
      <c r="R4" s="211" t="s">
        <v>60</v>
      </c>
      <c r="S4" s="211" t="s">
        <v>61</v>
      </c>
      <c r="T4" s="211"/>
      <c r="U4" s="211"/>
      <c r="V4" s="211"/>
    </row>
    <row r="5" spans="1:22" x14ac:dyDescent="0.3">
      <c r="A5" s="212" t="s">
        <v>434</v>
      </c>
      <c r="B5" s="212" t="s">
        <v>202</v>
      </c>
      <c r="C5" s="211">
        <v>60</v>
      </c>
      <c r="D5" s="211">
        <v>195</v>
      </c>
      <c r="E5" s="211">
        <v>0.43</v>
      </c>
      <c r="F5" s="213">
        <v>0.9</v>
      </c>
      <c r="G5" s="213">
        <v>0.77</v>
      </c>
      <c r="H5" s="215">
        <v>2.9000000000000001E-2</v>
      </c>
      <c r="I5" s="215">
        <v>3.5999999999999997E-2</v>
      </c>
      <c r="J5" s="211" t="s">
        <v>276</v>
      </c>
      <c r="K5" s="211">
        <v>44.6</v>
      </c>
      <c r="L5" s="211">
        <v>44.4</v>
      </c>
      <c r="M5" s="211">
        <v>2084.63</v>
      </c>
      <c r="N5" s="211"/>
      <c r="O5" s="211"/>
      <c r="P5" s="211"/>
      <c r="Q5" s="211">
        <v>160</v>
      </c>
      <c r="R5" s="211" t="s">
        <v>60</v>
      </c>
      <c r="S5" s="211" t="s">
        <v>60</v>
      </c>
      <c r="T5" s="211"/>
      <c r="U5" s="211"/>
      <c r="V5" s="211"/>
    </row>
    <row r="6" spans="1:22" x14ac:dyDescent="0.3">
      <c r="A6" s="212" t="s">
        <v>216</v>
      </c>
      <c r="B6" s="212" t="s">
        <v>217</v>
      </c>
      <c r="C6" s="211">
        <v>90</v>
      </c>
      <c r="D6" s="211">
        <v>135</v>
      </c>
      <c r="E6" s="211">
        <v>0.43</v>
      </c>
      <c r="F6" s="213">
        <v>0.91500000000000004</v>
      </c>
      <c r="G6" s="214">
        <f>F6-0.12</f>
        <v>0.79500000000000004</v>
      </c>
      <c r="H6" s="215">
        <v>9.1999999999999998E-2</v>
      </c>
      <c r="I6" s="215">
        <v>2.8000000000000001E-2</v>
      </c>
      <c r="J6" s="211" t="s">
        <v>276</v>
      </c>
      <c r="K6" s="211">
        <v>50.2</v>
      </c>
      <c r="L6" s="211">
        <v>40.799999999999997</v>
      </c>
      <c r="M6" s="211">
        <v>1907</v>
      </c>
      <c r="N6" s="211"/>
      <c r="O6" s="211"/>
      <c r="P6" s="211"/>
      <c r="Q6" s="211">
        <v>125</v>
      </c>
      <c r="R6" s="211" t="s">
        <v>60</v>
      </c>
      <c r="S6" s="211" t="s">
        <v>61</v>
      </c>
      <c r="T6" s="211"/>
      <c r="U6" s="211"/>
      <c r="V6" s="211"/>
    </row>
    <row r="7" spans="1:22" x14ac:dyDescent="0.3">
      <c r="A7" s="212" t="s">
        <v>592</v>
      </c>
      <c r="B7" s="212" t="s">
        <v>217</v>
      </c>
      <c r="C7" s="211">
        <v>90</v>
      </c>
      <c r="D7" s="211">
        <v>180</v>
      </c>
      <c r="E7" s="211">
        <v>0.3</v>
      </c>
      <c r="F7" s="213">
        <v>0.89</v>
      </c>
      <c r="G7" s="214">
        <v>0.77</v>
      </c>
      <c r="H7" s="215">
        <v>4.7E-2</v>
      </c>
      <c r="I7" s="215">
        <v>1.9E-2</v>
      </c>
      <c r="J7" s="211" t="s">
        <v>276</v>
      </c>
      <c r="K7" s="211">
        <v>45.8</v>
      </c>
      <c r="L7" s="211">
        <v>47.3</v>
      </c>
      <c r="M7" s="211"/>
      <c r="N7" s="211"/>
      <c r="O7" s="211"/>
      <c r="P7" s="211"/>
      <c r="Q7" s="211"/>
      <c r="R7" s="211" t="s">
        <v>60</v>
      </c>
      <c r="S7" s="211" t="s">
        <v>61</v>
      </c>
      <c r="T7" s="211"/>
      <c r="U7" s="211"/>
      <c r="V7" s="211"/>
    </row>
    <row r="8" spans="1:22" x14ac:dyDescent="0.3">
      <c r="A8" s="212" t="s">
        <v>593</v>
      </c>
      <c r="B8" s="212" t="s">
        <v>217</v>
      </c>
      <c r="C8" s="211">
        <v>60</v>
      </c>
      <c r="D8" s="211">
        <v>165</v>
      </c>
      <c r="E8" s="211">
        <v>0.35</v>
      </c>
      <c r="F8" s="213">
        <v>0.91</v>
      </c>
      <c r="G8" s="214">
        <f>F8-0.12</f>
        <v>0.79</v>
      </c>
      <c r="H8" s="215">
        <v>8.2000000000000003E-2</v>
      </c>
      <c r="I8" s="215">
        <v>1.2999999999999999E-2</v>
      </c>
      <c r="J8" s="211" t="s">
        <v>276</v>
      </c>
      <c r="K8" s="211">
        <v>46.4</v>
      </c>
      <c r="L8" s="211">
        <v>39.299999999999997</v>
      </c>
      <c r="M8" s="211"/>
      <c r="N8" s="211"/>
      <c r="O8" s="211"/>
      <c r="P8" s="211"/>
      <c r="Q8" s="211"/>
      <c r="R8" s="211" t="s">
        <v>60</v>
      </c>
      <c r="S8" s="211" t="s">
        <v>61</v>
      </c>
      <c r="T8" s="211"/>
      <c r="U8" s="211"/>
      <c r="V8" s="211"/>
    </row>
    <row r="9" spans="1:22" x14ac:dyDescent="0.3">
      <c r="A9" s="212" t="s">
        <v>236</v>
      </c>
      <c r="B9" s="212" t="s">
        <v>235</v>
      </c>
      <c r="C9" s="211">
        <v>60</v>
      </c>
      <c r="D9" s="211">
        <v>140</v>
      </c>
      <c r="E9" s="211">
        <v>0.28999999999999998</v>
      </c>
      <c r="F9" s="214">
        <v>0.9</v>
      </c>
      <c r="G9" s="213">
        <v>0.8</v>
      </c>
      <c r="H9" s="215">
        <v>1.7999999999999999E-2</v>
      </c>
      <c r="I9" s="215">
        <v>6.0000000000000001E-3</v>
      </c>
      <c r="J9" s="211" t="s">
        <v>276</v>
      </c>
      <c r="K9" s="211" t="s">
        <v>276</v>
      </c>
      <c r="L9" s="211" t="s">
        <v>276</v>
      </c>
      <c r="M9" s="211">
        <v>1990</v>
      </c>
      <c r="N9" s="211"/>
      <c r="O9" s="211"/>
      <c r="P9" s="211"/>
      <c r="Q9" s="211"/>
      <c r="R9" s="211" t="s">
        <v>61</v>
      </c>
      <c r="S9" s="211" t="s">
        <v>60</v>
      </c>
      <c r="T9" s="211"/>
      <c r="U9" s="211"/>
      <c r="V9" s="211"/>
    </row>
    <row r="10" spans="1:22" x14ac:dyDescent="0.3">
      <c r="A10" s="212" t="s">
        <v>234</v>
      </c>
      <c r="B10" s="212" t="s">
        <v>235</v>
      </c>
      <c r="C10" s="211">
        <v>99</v>
      </c>
      <c r="D10" s="211">
        <v>220</v>
      </c>
      <c r="E10" s="211">
        <v>0.27</v>
      </c>
      <c r="F10" s="214">
        <v>0.9</v>
      </c>
      <c r="G10" s="213">
        <v>0.81</v>
      </c>
      <c r="H10" s="215">
        <v>8.0000000000000002E-3</v>
      </c>
      <c r="I10" s="215">
        <v>6.0000000000000001E-3</v>
      </c>
      <c r="J10" s="211" t="s">
        <v>276</v>
      </c>
      <c r="K10" s="211" t="s">
        <v>276</v>
      </c>
      <c r="L10" s="211" t="s">
        <v>276</v>
      </c>
      <c r="M10" s="211">
        <v>2439</v>
      </c>
      <c r="N10" s="211"/>
      <c r="O10" s="211"/>
      <c r="P10" s="211"/>
      <c r="Q10" s="211"/>
      <c r="R10" s="211" t="s">
        <v>61</v>
      </c>
      <c r="S10" s="211" t="s">
        <v>60</v>
      </c>
      <c r="T10" s="211"/>
      <c r="U10" s="211"/>
      <c r="V10" s="211"/>
    </row>
    <row r="11" spans="1:22" x14ac:dyDescent="0.3">
      <c r="A11" s="212" t="s">
        <v>442</v>
      </c>
      <c r="B11" s="212" t="s">
        <v>235</v>
      </c>
      <c r="C11" s="211">
        <v>99</v>
      </c>
      <c r="D11" s="211">
        <v>220</v>
      </c>
      <c r="E11" s="211">
        <v>0.27</v>
      </c>
      <c r="F11" s="214">
        <v>0.9</v>
      </c>
      <c r="G11" s="213">
        <v>0.81</v>
      </c>
      <c r="H11" s="215">
        <v>8.0000000000000002E-3</v>
      </c>
      <c r="I11" s="215">
        <v>5.1999999999999998E-3</v>
      </c>
      <c r="J11" s="211">
        <v>56.3</v>
      </c>
      <c r="K11" s="211">
        <v>63.1</v>
      </c>
      <c r="L11" s="211">
        <v>63.2</v>
      </c>
      <c r="M11" s="211">
        <v>2564.2199999999998</v>
      </c>
      <c r="N11" s="211">
        <v>600</v>
      </c>
      <c r="O11" s="211">
        <v>1180</v>
      </c>
      <c r="P11" s="211">
        <v>580</v>
      </c>
      <c r="Q11" s="211">
        <v>160</v>
      </c>
      <c r="R11" s="211" t="s">
        <v>61</v>
      </c>
      <c r="S11" s="211" t="s">
        <v>60</v>
      </c>
      <c r="T11" s="211"/>
      <c r="U11" s="211"/>
      <c r="V11" s="211"/>
    </row>
    <row r="12" spans="1:22" x14ac:dyDescent="0.3">
      <c r="A12" s="212" t="s">
        <v>441</v>
      </c>
      <c r="B12" s="212" t="s">
        <v>235</v>
      </c>
      <c r="C12" s="211">
        <v>135</v>
      </c>
      <c r="D12" s="211">
        <v>340</v>
      </c>
      <c r="E12" s="211">
        <v>0.26</v>
      </c>
      <c r="F12" s="214">
        <v>0.9</v>
      </c>
      <c r="G12" s="213">
        <v>0.83</v>
      </c>
      <c r="H12" s="215">
        <v>0.03</v>
      </c>
      <c r="I12" s="215">
        <v>0.03</v>
      </c>
      <c r="J12" s="211">
        <v>51.8</v>
      </c>
      <c r="K12" s="211">
        <v>62.2</v>
      </c>
      <c r="L12" s="211">
        <v>59.2</v>
      </c>
      <c r="M12" s="211">
        <v>3683.68</v>
      </c>
      <c r="N12" s="211">
        <v>600</v>
      </c>
      <c r="O12" s="211">
        <v>1180</v>
      </c>
      <c r="P12" s="211">
        <v>780</v>
      </c>
      <c r="Q12" s="211">
        <v>250</v>
      </c>
      <c r="R12" s="211" t="s">
        <v>61</v>
      </c>
      <c r="S12" s="211" t="s">
        <v>60</v>
      </c>
      <c r="T12" s="211"/>
      <c r="U12" s="211"/>
      <c r="V12" s="211"/>
    </row>
    <row r="13" spans="1:22" x14ac:dyDescent="0.3">
      <c r="A13" s="212" t="s">
        <v>634</v>
      </c>
      <c r="B13" s="212" t="s">
        <v>235</v>
      </c>
      <c r="C13" s="211">
        <v>70</v>
      </c>
      <c r="D13" s="211">
        <v>140</v>
      </c>
      <c r="E13" s="211">
        <v>0.37</v>
      </c>
      <c r="F13" s="213">
        <v>0.91</v>
      </c>
      <c r="G13" s="213">
        <v>0.93</v>
      </c>
      <c r="H13" s="215">
        <v>6.8999999999999999E-3</v>
      </c>
      <c r="I13" s="215">
        <v>4.7999999999999996E-3</v>
      </c>
      <c r="J13" s="211">
        <v>52.8</v>
      </c>
      <c r="K13" s="211">
        <v>53</v>
      </c>
      <c r="L13" s="211">
        <v>53.2</v>
      </c>
      <c r="M13" s="211">
        <v>2635.2</v>
      </c>
      <c r="N13" s="211">
        <v>600</v>
      </c>
      <c r="O13" s="211">
        <v>1122</v>
      </c>
      <c r="P13" s="211">
        <v>279</v>
      </c>
      <c r="Q13" s="211">
        <v>125</v>
      </c>
      <c r="R13" s="211" t="s">
        <v>60</v>
      </c>
      <c r="S13" s="211" t="s">
        <v>60</v>
      </c>
      <c r="T13" s="211" t="s">
        <v>60</v>
      </c>
      <c r="U13" s="211" t="s">
        <v>635</v>
      </c>
      <c r="V13" s="211" t="s">
        <v>61</v>
      </c>
    </row>
    <row r="14" spans="1:22" x14ac:dyDescent="0.3">
      <c r="A14" s="212" t="s">
        <v>230</v>
      </c>
      <c r="B14" s="212" t="s">
        <v>231</v>
      </c>
      <c r="C14" s="211">
        <v>80</v>
      </c>
      <c r="D14" s="211">
        <v>120</v>
      </c>
      <c r="E14" s="211">
        <v>0.4</v>
      </c>
      <c r="F14" s="214">
        <v>0.92</v>
      </c>
      <c r="G14" s="213">
        <v>0.88</v>
      </c>
      <c r="H14" s="215">
        <v>2.1600000000000001E-2</v>
      </c>
      <c r="I14" s="215">
        <v>6.8999999999999999E-3</v>
      </c>
      <c r="J14" s="211">
        <v>49</v>
      </c>
      <c r="K14" s="211">
        <v>58.5</v>
      </c>
      <c r="L14" s="211">
        <v>73.599999999999994</v>
      </c>
      <c r="M14" s="211">
        <v>2381</v>
      </c>
      <c r="N14" s="211"/>
      <c r="O14" s="211"/>
      <c r="P14" s="211"/>
      <c r="Q14" s="211">
        <v>125</v>
      </c>
      <c r="R14" s="211" t="s">
        <v>61</v>
      </c>
      <c r="S14" s="211" t="s">
        <v>60</v>
      </c>
      <c r="T14" s="211"/>
      <c r="U14" s="211"/>
      <c r="V14" s="211"/>
    </row>
    <row r="15" spans="1:22" x14ac:dyDescent="0.3">
      <c r="A15" s="212" t="s">
        <v>224</v>
      </c>
      <c r="B15" s="212" t="s">
        <v>231</v>
      </c>
      <c r="C15" s="211">
        <v>103</v>
      </c>
      <c r="D15" s="211">
        <v>299</v>
      </c>
      <c r="E15" s="211">
        <v>0.36</v>
      </c>
      <c r="F15" s="214">
        <v>0.92</v>
      </c>
      <c r="G15" s="213">
        <f>IF(debit&lt;125,0.9,0.84)</f>
        <v>0.9</v>
      </c>
      <c r="H15" s="215">
        <v>1.9E-2</v>
      </c>
      <c r="I15" s="215">
        <v>4.0000000000000001E-3</v>
      </c>
      <c r="J15" s="211">
        <v>47.6</v>
      </c>
      <c r="K15" s="211">
        <v>44.7</v>
      </c>
      <c r="L15" s="211">
        <v>59.5</v>
      </c>
      <c r="M15" s="211">
        <v>2596</v>
      </c>
      <c r="N15" s="211"/>
      <c r="O15" s="211"/>
      <c r="P15" s="211"/>
      <c r="Q15" s="211">
        <v>160</v>
      </c>
      <c r="R15" s="211" t="s">
        <v>61</v>
      </c>
      <c r="S15" s="211" t="s">
        <v>60</v>
      </c>
      <c r="T15" s="211"/>
      <c r="U15" s="211"/>
      <c r="V15" s="211"/>
    </row>
    <row r="16" spans="1:22" x14ac:dyDescent="0.3">
      <c r="A16" s="212" t="s">
        <v>223</v>
      </c>
      <c r="B16" s="212" t="s">
        <v>232</v>
      </c>
      <c r="C16" s="211">
        <v>97</v>
      </c>
      <c r="D16" s="211">
        <v>191</v>
      </c>
      <c r="E16" s="211">
        <f>IF(debit&lt;125,0.28,0.34)</f>
        <v>0.28000000000000003</v>
      </c>
      <c r="F16" s="214">
        <v>0.91</v>
      </c>
      <c r="G16" s="213">
        <f>IF(debit&lt;125,0.89,0.85)</f>
        <v>0.89</v>
      </c>
      <c r="H16" s="215">
        <v>1.6E-2</v>
      </c>
      <c r="I16" s="215">
        <v>2.7E-2</v>
      </c>
      <c r="J16" s="211">
        <v>35</v>
      </c>
      <c r="K16" s="211">
        <v>35</v>
      </c>
      <c r="L16" s="211">
        <v>49</v>
      </c>
      <c r="M16" s="211">
        <v>2288</v>
      </c>
      <c r="N16" s="211"/>
      <c r="O16" s="211"/>
      <c r="P16" s="211"/>
      <c r="Q16" s="211">
        <v>125</v>
      </c>
      <c r="R16" s="211" t="s">
        <v>61</v>
      </c>
      <c r="S16" s="211" t="s">
        <v>60</v>
      </c>
      <c r="T16" s="211"/>
      <c r="U16" s="211"/>
      <c r="V16" s="211"/>
    </row>
    <row r="17" spans="1:22" x14ac:dyDescent="0.3">
      <c r="A17" s="212" t="s">
        <v>233</v>
      </c>
      <c r="B17" s="212" t="s">
        <v>183</v>
      </c>
      <c r="C17" s="211">
        <v>116</v>
      </c>
      <c r="D17" s="211">
        <v>155</v>
      </c>
      <c r="E17" s="211">
        <v>0.31</v>
      </c>
      <c r="F17" s="214">
        <v>0.98</v>
      </c>
      <c r="G17" s="213">
        <v>0.91</v>
      </c>
      <c r="H17" s="215">
        <v>1.2999999999999999E-2</v>
      </c>
      <c r="I17" s="215">
        <v>1.4999999999999999E-2</v>
      </c>
      <c r="J17" s="211">
        <v>51.7</v>
      </c>
      <c r="K17" s="211">
        <v>54.7</v>
      </c>
      <c r="L17" s="211">
        <v>67.900000000000006</v>
      </c>
      <c r="M17" s="211">
        <v>2972</v>
      </c>
      <c r="N17" s="211"/>
      <c r="O17" s="211"/>
      <c r="P17" s="211"/>
      <c r="Q17" s="211">
        <v>125</v>
      </c>
      <c r="R17" s="211" t="s">
        <v>61</v>
      </c>
      <c r="S17" s="211" t="s">
        <v>60</v>
      </c>
      <c r="T17" s="211"/>
      <c r="U17" s="211"/>
      <c r="V17" s="211"/>
    </row>
    <row r="18" spans="1:22" x14ac:dyDescent="0.3">
      <c r="A18" s="212" t="s">
        <v>436</v>
      </c>
      <c r="B18" s="212" t="s">
        <v>183</v>
      </c>
      <c r="C18" s="211">
        <v>71</v>
      </c>
      <c r="D18" s="211">
        <v>210</v>
      </c>
      <c r="E18" s="211">
        <v>0.28999999999999998</v>
      </c>
      <c r="F18" s="213">
        <v>0.96</v>
      </c>
      <c r="G18" s="213">
        <v>0.84</v>
      </c>
      <c r="H18" s="215">
        <v>1.9E-2</v>
      </c>
      <c r="I18" s="215">
        <v>1.4999999999999999E-2</v>
      </c>
      <c r="J18" s="211">
        <v>50.1</v>
      </c>
      <c r="K18" s="211">
        <v>36.4</v>
      </c>
      <c r="L18" s="211">
        <v>54.1</v>
      </c>
      <c r="M18" s="211">
        <f>2130*1.196</f>
        <v>2547.48</v>
      </c>
      <c r="N18" s="211"/>
      <c r="O18" s="211"/>
      <c r="P18" s="211"/>
      <c r="Q18" s="211">
        <v>160</v>
      </c>
      <c r="R18" s="211" t="s">
        <v>60</v>
      </c>
      <c r="S18" s="211" t="s">
        <v>60</v>
      </c>
      <c r="T18" s="211"/>
      <c r="U18" s="211"/>
      <c r="V18" s="211"/>
    </row>
    <row r="19" spans="1:22" x14ac:dyDescent="0.3">
      <c r="A19" s="212" t="s">
        <v>182</v>
      </c>
      <c r="B19" s="212" t="s">
        <v>183</v>
      </c>
      <c r="C19" s="211">
        <v>120</v>
      </c>
      <c r="D19" s="211">
        <v>231</v>
      </c>
      <c r="E19" s="211">
        <v>0.24</v>
      </c>
      <c r="F19" s="214">
        <v>0.98</v>
      </c>
      <c r="G19" s="213">
        <f>IF(debit&lt;145,0.94,0.93)</f>
        <v>0.94</v>
      </c>
      <c r="H19" s="215">
        <v>1.4E-2</v>
      </c>
      <c r="I19" s="215">
        <v>5.0000000000000001E-3</v>
      </c>
      <c r="J19" s="211">
        <v>43</v>
      </c>
      <c r="K19" s="211">
        <v>64.900000000000006</v>
      </c>
      <c r="L19" s="211">
        <v>47</v>
      </c>
      <c r="M19" s="211">
        <f>2650*1.196+500*1.196</f>
        <v>3767.4</v>
      </c>
      <c r="N19" s="211"/>
      <c r="O19" s="211"/>
      <c r="P19" s="211"/>
      <c r="Q19" s="211">
        <v>160</v>
      </c>
      <c r="R19" s="211" t="s">
        <v>60</v>
      </c>
      <c r="S19" s="211" t="s">
        <v>60</v>
      </c>
      <c r="T19" s="211"/>
      <c r="U19" s="211"/>
      <c r="V19" s="211"/>
    </row>
    <row r="20" spans="1:22" x14ac:dyDescent="0.3">
      <c r="A20" s="212" t="s">
        <v>240</v>
      </c>
      <c r="B20" s="212" t="s">
        <v>183</v>
      </c>
      <c r="C20" s="211">
        <v>140</v>
      </c>
      <c r="D20" s="211">
        <v>348</v>
      </c>
      <c r="E20" s="211">
        <v>0.28999999999999998</v>
      </c>
      <c r="F20" s="214">
        <v>0.98</v>
      </c>
      <c r="G20" s="214">
        <v>0.89</v>
      </c>
      <c r="H20" s="215">
        <v>5.4000000000000003E-3</v>
      </c>
      <c r="I20" s="215">
        <v>1.6799999999999999E-2</v>
      </c>
      <c r="J20" s="211">
        <v>52.9</v>
      </c>
      <c r="K20" s="211">
        <v>57.1</v>
      </c>
      <c r="L20" s="211">
        <v>71.099999999999994</v>
      </c>
      <c r="M20" s="211">
        <f>2950*1.196+500*1.196</f>
        <v>4126.2</v>
      </c>
      <c r="N20" s="211"/>
      <c r="O20" s="211"/>
      <c r="P20" s="211"/>
      <c r="Q20" s="211"/>
      <c r="R20" s="211" t="s">
        <v>61</v>
      </c>
      <c r="S20" s="211" t="s">
        <v>60</v>
      </c>
      <c r="T20" s="211"/>
      <c r="U20" s="211"/>
      <c r="V20" s="211"/>
    </row>
    <row r="21" spans="1:22" x14ac:dyDescent="0.3">
      <c r="A21" s="212" t="s">
        <v>229</v>
      </c>
      <c r="B21" s="212" t="s">
        <v>228</v>
      </c>
      <c r="C21" s="211">
        <v>90</v>
      </c>
      <c r="D21" s="211">
        <v>210</v>
      </c>
      <c r="E21" s="211">
        <v>0.44</v>
      </c>
      <c r="F21" s="213">
        <v>0.89200000000000002</v>
      </c>
      <c r="G21" s="214">
        <v>0.77200000000000002</v>
      </c>
      <c r="H21" s="215">
        <v>4.3999999999999997E-2</v>
      </c>
      <c r="I21" s="215">
        <v>1.2999999999999999E-2</v>
      </c>
      <c r="J21" s="211" t="s">
        <v>276</v>
      </c>
      <c r="K21" s="211">
        <v>48.7</v>
      </c>
      <c r="L21" s="211">
        <v>50.4</v>
      </c>
      <c r="M21" s="211">
        <v>1990</v>
      </c>
      <c r="N21" s="211"/>
      <c r="O21" s="211"/>
      <c r="P21" s="211"/>
      <c r="Q21" s="211">
        <v>160</v>
      </c>
      <c r="R21" s="211" t="s">
        <v>60</v>
      </c>
      <c r="S21" s="211" t="s">
        <v>61</v>
      </c>
      <c r="T21" s="211"/>
      <c r="U21" s="211"/>
      <c r="V21" s="211"/>
    </row>
    <row r="22" spans="1:22" x14ac:dyDescent="0.3">
      <c r="A22" s="212" t="s">
        <v>577</v>
      </c>
      <c r="B22" s="212" t="s">
        <v>228</v>
      </c>
      <c r="C22" s="211">
        <v>75</v>
      </c>
      <c r="D22" s="211">
        <v>210</v>
      </c>
      <c r="E22" s="211">
        <v>0.34</v>
      </c>
      <c r="F22" s="213">
        <v>0.88</v>
      </c>
      <c r="G22" s="214">
        <v>0.76</v>
      </c>
      <c r="H22" s="215">
        <v>1.6E-2</v>
      </c>
      <c r="I22" s="215">
        <v>4.0000000000000001E-3</v>
      </c>
      <c r="J22" s="211" t="s">
        <v>276</v>
      </c>
      <c r="K22" s="211">
        <v>48.5</v>
      </c>
      <c r="L22" s="211">
        <v>46</v>
      </c>
      <c r="M22" s="211">
        <v>1990</v>
      </c>
      <c r="N22" s="211"/>
      <c r="O22" s="211"/>
      <c r="P22" s="211"/>
      <c r="Q22" s="211">
        <v>160</v>
      </c>
      <c r="R22" s="211" t="s">
        <v>60</v>
      </c>
      <c r="S22" s="211" t="s">
        <v>61</v>
      </c>
      <c r="T22" s="211"/>
      <c r="U22" s="211"/>
      <c r="V22" s="211"/>
    </row>
    <row r="23" spans="1:22" x14ac:dyDescent="0.3">
      <c r="A23" s="212" t="s">
        <v>578</v>
      </c>
      <c r="B23" s="212" t="s">
        <v>228</v>
      </c>
      <c r="C23" s="211">
        <v>75</v>
      </c>
      <c r="D23" s="211">
        <v>135</v>
      </c>
      <c r="E23" s="211">
        <v>0.3</v>
      </c>
      <c r="F23" s="213">
        <v>0.85</v>
      </c>
      <c r="G23" s="214">
        <v>0.75</v>
      </c>
      <c r="H23" s="215">
        <v>1.2999999999999999E-2</v>
      </c>
      <c r="I23" s="215">
        <v>6.0000000000000001E-3</v>
      </c>
      <c r="J23" s="211" t="s">
        <v>276</v>
      </c>
      <c r="K23" s="211">
        <v>45.3</v>
      </c>
      <c r="L23" s="211">
        <v>45.2</v>
      </c>
      <c r="M23" s="211">
        <v>1312</v>
      </c>
      <c r="N23" s="211"/>
      <c r="O23" s="211"/>
      <c r="P23" s="211"/>
      <c r="Q23" s="211">
        <v>125</v>
      </c>
      <c r="R23" s="211" t="s">
        <v>60</v>
      </c>
      <c r="S23" s="211" t="s">
        <v>61</v>
      </c>
      <c r="T23" s="211"/>
      <c r="U23" s="211"/>
      <c r="V23" s="211"/>
    </row>
    <row r="24" spans="1:22" x14ac:dyDescent="0.3">
      <c r="A24" s="212" t="s">
        <v>237</v>
      </c>
      <c r="B24" s="212" t="s">
        <v>238</v>
      </c>
      <c r="C24" s="211">
        <v>60</v>
      </c>
      <c r="D24" s="211">
        <v>105</v>
      </c>
      <c r="E24" s="211">
        <v>0.31</v>
      </c>
      <c r="F24" s="213">
        <v>0.9</v>
      </c>
      <c r="G24" s="214">
        <v>0.78</v>
      </c>
      <c r="H24" s="215">
        <v>0.04</v>
      </c>
      <c r="I24" s="215">
        <v>0.03</v>
      </c>
      <c r="J24" s="211" t="s">
        <v>276</v>
      </c>
      <c r="K24" s="211">
        <v>40.1</v>
      </c>
      <c r="L24" s="211">
        <v>49</v>
      </c>
      <c r="M24" s="211">
        <v>1700</v>
      </c>
      <c r="N24" s="211">
        <v>550</v>
      </c>
      <c r="O24" s="211">
        <v>650</v>
      </c>
      <c r="P24" s="211">
        <v>285</v>
      </c>
      <c r="Q24" s="211">
        <v>125</v>
      </c>
      <c r="R24" s="211" t="s">
        <v>60</v>
      </c>
      <c r="S24" s="211" t="s">
        <v>61</v>
      </c>
      <c r="T24" s="211"/>
      <c r="U24" s="211"/>
      <c r="V24" s="211"/>
    </row>
    <row r="25" spans="1:22" x14ac:dyDescent="0.3">
      <c r="A25" s="212" t="s">
        <v>225</v>
      </c>
      <c r="B25" s="212" t="s">
        <v>226</v>
      </c>
      <c r="C25" s="211">
        <v>91</v>
      </c>
      <c r="D25" s="211">
        <v>150</v>
      </c>
      <c r="E25" s="211">
        <v>0.37</v>
      </c>
      <c r="F25" s="213">
        <v>0.92</v>
      </c>
      <c r="G25" s="214">
        <v>0.8</v>
      </c>
      <c r="H25" s="215">
        <v>0.02</v>
      </c>
      <c r="I25" s="215">
        <v>8.9999999999999993E-3</v>
      </c>
      <c r="J25" s="211" t="s">
        <v>276</v>
      </c>
      <c r="K25" s="211">
        <v>55.4</v>
      </c>
      <c r="L25" s="211">
        <v>44.4</v>
      </c>
      <c r="M25" s="211">
        <v>1967</v>
      </c>
      <c r="N25" s="211"/>
      <c r="O25" s="211"/>
      <c r="P25" s="211"/>
      <c r="Q25" s="211"/>
      <c r="R25" s="211" t="s">
        <v>60</v>
      </c>
      <c r="S25" s="211" t="s">
        <v>61</v>
      </c>
      <c r="T25" s="211"/>
      <c r="U25" s="211"/>
      <c r="V25" s="211"/>
    </row>
    <row r="26" spans="1:22" x14ac:dyDescent="0.3">
      <c r="A26" s="212" t="s">
        <v>227</v>
      </c>
      <c r="B26" s="212" t="s">
        <v>219</v>
      </c>
      <c r="C26" s="211">
        <v>60</v>
      </c>
      <c r="D26" s="211">
        <v>150</v>
      </c>
      <c r="E26" s="211">
        <v>0.42</v>
      </c>
      <c r="F26" s="213">
        <v>0.98</v>
      </c>
      <c r="G26" s="213">
        <v>0.92</v>
      </c>
      <c r="H26" s="215">
        <v>1.7999999999999999E-2</v>
      </c>
      <c r="I26" s="215">
        <v>1.2E-2</v>
      </c>
      <c r="J26" s="211">
        <v>49</v>
      </c>
      <c r="K26" s="211">
        <v>39.9</v>
      </c>
      <c r="L26" s="211">
        <v>54.4</v>
      </c>
      <c r="M26" s="211">
        <v>2425</v>
      </c>
      <c r="N26" s="211"/>
      <c r="O26" s="211"/>
      <c r="P26" s="211"/>
      <c r="Q26" s="211"/>
      <c r="R26" s="211" t="s">
        <v>60</v>
      </c>
      <c r="S26" s="211" t="s">
        <v>60</v>
      </c>
      <c r="T26" s="211"/>
      <c r="U26" s="211"/>
      <c r="V26" s="211"/>
    </row>
    <row r="27" spans="1:22" x14ac:dyDescent="0.3">
      <c r="A27" s="212" t="s">
        <v>218</v>
      </c>
      <c r="B27" s="212" t="s">
        <v>219</v>
      </c>
      <c r="C27" s="211">
        <v>71</v>
      </c>
      <c r="D27" s="211">
        <v>210</v>
      </c>
      <c r="E27" s="211">
        <v>0.28999999999999998</v>
      </c>
      <c r="F27" s="213">
        <v>0.96</v>
      </c>
      <c r="G27" s="213">
        <v>0.84</v>
      </c>
      <c r="H27" s="215">
        <v>1.9E-2</v>
      </c>
      <c r="I27" s="215">
        <v>1.4999999999999999E-2</v>
      </c>
      <c r="J27" s="211">
        <v>50.1</v>
      </c>
      <c r="K27" s="211">
        <v>36.4</v>
      </c>
      <c r="L27" s="211">
        <v>54.1</v>
      </c>
      <c r="M27" s="211">
        <v>2652</v>
      </c>
      <c r="N27" s="211"/>
      <c r="O27" s="211"/>
      <c r="P27" s="211"/>
      <c r="Q27" s="211">
        <v>160</v>
      </c>
      <c r="R27" s="211" t="s">
        <v>60</v>
      </c>
      <c r="S27" s="211" t="s">
        <v>60</v>
      </c>
      <c r="T27" s="211"/>
      <c r="U27" s="211"/>
      <c r="V27" s="211"/>
    </row>
    <row r="28" spans="1:22" x14ac:dyDescent="0.3">
      <c r="A28" s="212" t="s">
        <v>241</v>
      </c>
      <c r="B28" s="212" t="s">
        <v>219</v>
      </c>
      <c r="C28" s="211">
        <v>110</v>
      </c>
      <c r="D28" s="211">
        <v>270</v>
      </c>
      <c r="E28" s="211">
        <v>0.31</v>
      </c>
      <c r="F28" s="214">
        <v>0.96</v>
      </c>
      <c r="G28" s="213">
        <v>0.84</v>
      </c>
      <c r="H28" s="215">
        <v>1.9300000000000001E-2</v>
      </c>
      <c r="I28" s="215">
        <v>2.5100000000000001E-2</v>
      </c>
      <c r="J28" s="211">
        <v>48</v>
      </c>
      <c r="K28" s="211">
        <v>55.6</v>
      </c>
      <c r="L28" s="211">
        <v>38.5</v>
      </c>
      <c r="M28" s="211">
        <v>3825</v>
      </c>
      <c r="N28" s="211"/>
      <c r="O28" s="211"/>
      <c r="P28" s="211"/>
      <c r="Q28" s="211"/>
      <c r="R28" s="211" t="s">
        <v>61</v>
      </c>
      <c r="S28" s="211" t="s">
        <v>60</v>
      </c>
      <c r="T28" s="211"/>
      <c r="U28" s="211"/>
      <c r="V28" s="211"/>
    </row>
    <row r="29" spans="1:22" x14ac:dyDescent="0.3">
      <c r="A29" s="212" t="s">
        <v>579</v>
      </c>
      <c r="B29" s="212" t="s">
        <v>580</v>
      </c>
      <c r="C29" s="211">
        <v>78</v>
      </c>
      <c r="D29" s="211">
        <v>210</v>
      </c>
      <c r="E29" s="211">
        <v>0.28999999999999998</v>
      </c>
      <c r="F29" s="213">
        <v>0.9</v>
      </c>
      <c r="G29" s="213">
        <v>0.84</v>
      </c>
      <c r="H29" s="215">
        <v>1.54E-2</v>
      </c>
      <c r="I29" s="215">
        <v>1.6500000000000001E-2</v>
      </c>
      <c r="J29" s="211">
        <v>54</v>
      </c>
      <c r="K29" s="211">
        <v>45.1</v>
      </c>
      <c r="L29" s="211">
        <v>36</v>
      </c>
      <c r="M29" s="211">
        <f>2684.5*1.196</f>
        <v>3210.6619999999998</v>
      </c>
      <c r="N29" s="211">
        <v>765</v>
      </c>
      <c r="O29" s="211">
        <v>677</v>
      </c>
      <c r="P29" s="211">
        <v>564</v>
      </c>
      <c r="Q29" s="211" t="s">
        <v>583</v>
      </c>
      <c r="R29" s="211" t="s">
        <v>60</v>
      </c>
      <c r="S29" s="211" t="s">
        <v>60</v>
      </c>
      <c r="T29" s="211" t="s">
        <v>60</v>
      </c>
      <c r="U29" s="211"/>
      <c r="V29" s="211"/>
    </row>
    <row r="30" spans="1:22" x14ac:dyDescent="0.3">
      <c r="A30" s="212" t="s">
        <v>594</v>
      </c>
      <c r="B30" s="212" t="s">
        <v>580</v>
      </c>
      <c r="C30" s="211">
        <v>71</v>
      </c>
      <c r="D30" s="211">
        <v>100</v>
      </c>
      <c r="E30" s="211">
        <v>0.44</v>
      </c>
      <c r="F30" s="214">
        <v>0.9</v>
      </c>
      <c r="G30" s="213">
        <v>0.84</v>
      </c>
      <c r="H30" s="215">
        <v>1.83E-2</v>
      </c>
      <c r="I30" s="215">
        <v>2.4E-2</v>
      </c>
      <c r="J30" s="211">
        <v>46</v>
      </c>
      <c r="K30" s="211" t="s">
        <v>276</v>
      </c>
      <c r="L30" s="211" t="s">
        <v>276</v>
      </c>
      <c r="M30" s="211"/>
      <c r="N30" s="211"/>
      <c r="O30" s="211"/>
      <c r="P30" s="211"/>
      <c r="Q30" s="211"/>
      <c r="R30" s="211" t="s">
        <v>61</v>
      </c>
      <c r="S30" s="211" t="s">
        <v>60</v>
      </c>
      <c r="T30" s="211" t="s">
        <v>60</v>
      </c>
      <c r="U30" s="211"/>
      <c r="V30" s="211"/>
    </row>
    <row r="31" spans="1:22" x14ac:dyDescent="0.3">
      <c r="A31" s="212" t="s">
        <v>626</v>
      </c>
      <c r="B31" s="212" t="s">
        <v>625</v>
      </c>
      <c r="C31" s="211">
        <v>116</v>
      </c>
      <c r="D31" s="211">
        <v>246</v>
      </c>
      <c r="E31" s="211">
        <v>0.24</v>
      </c>
      <c r="F31" s="211">
        <v>0.96</v>
      </c>
      <c r="G31" s="213">
        <v>0.92</v>
      </c>
      <c r="H31" s="215">
        <v>4.7000000000000002E-3</v>
      </c>
      <c r="I31" s="215">
        <v>2.5000000000000001E-3</v>
      </c>
      <c r="J31" s="211">
        <v>45.7</v>
      </c>
      <c r="K31" s="211">
        <v>54.8</v>
      </c>
      <c r="L31" s="211">
        <v>62</v>
      </c>
      <c r="M31" s="211"/>
      <c r="N31" s="211">
        <v>841</v>
      </c>
      <c r="O31" s="211">
        <v>598</v>
      </c>
      <c r="P31" s="211">
        <v>857</v>
      </c>
      <c r="Q31" s="211">
        <v>160</v>
      </c>
      <c r="R31" s="211" t="s">
        <v>61</v>
      </c>
      <c r="S31" s="211" t="s">
        <v>60</v>
      </c>
      <c r="T31" s="211" t="s">
        <v>60</v>
      </c>
      <c r="U31" s="211" t="s">
        <v>627</v>
      </c>
      <c r="V31" s="211"/>
    </row>
    <row r="32" spans="1:22" x14ac:dyDescent="0.3">
      <c r="A32" s="212" t="s">
        <v>628</v>
      </c>
      <c r="B32" s="212" t="s">
        <v>625</v>
      </c>
      <c r="C32" s="211">
        <v>116</v>
      </c>
      <c r="D32" s="211">
        <v>368</v>
      </c>
      <c r="E32" s="211">
        <v>0.28999999999999998</v>
      </c>
      <c r="F32" s="211">
        <v>0.96</v>
      </c>
      <c r="G32" s="213">
        <v>0.9</v>
      </c>
      <c r="H32" s="215">
        <v>3.5000000000000001E-3</v>
      </c>
      <c r="I32" s="215">
        <v>1.9E-3</v>
      </c>
      <c r="J32" s="211">
        <v>51.5</v>
      </c>
      <c r="K32" s="211">
        <v>62.8</v>
      </c>
      <c r="L32" s="211">
        <v>69.400000000000006</v>
      </c>
      <c r="M32" s="211"/>
      <c r="N32" s="211">
        <v>841</v>
      </c>
      <c r="O32" s="211">
        <v>598</v>
      </c>
      <c r="P32" s="211">
        <v>857</v>
      </c>
      <c r="Q32" s="211">
        <v>160</v>
      </c>
      <c r="R32" s="211" t="s">
        <v>61</v>
      </c>
      <c r="S32" s="211" t="s">
        <v>60</v>
      </c>
      <c r="T32" s="211" t="s">
        <v>629</v>
      </c>
      <c r="U32" s="211" t="s">
        <v>60</v>
      </c>
      <c r="V32" s="211"/>
    </row>
    <row r="33" spans="1:22" x14ac:dyDescent="0.3">
      <c r="A33" s="212" t="s">
        <v>630</v>
      </c>
      <c r="B33" s="212" t="s">
        <v>625</v>
      </c>
      <c r="C33" s="211">
        <v>57</v>
      </c>
      <c r="D33" s="211">
        <v>106</v>
      </c>
      <c r="E33" s="211">
        <v>0.37</v>
      </c>
      <c r="F33" s="211">
        <v>0.94</v>
      </c>
      <c r="G33" s="211">
        <v>0.86</v>
      </c>
      <c r="H33" s="215">
        <v>2E-3</v>
      </c>
      <c r="I33" s="215">
        <v>1.2999999999999999E-2</v>
      </c>
      <c r="J33" s="211">
        <v>58.3</v>
      </c>
      <c r="K33" s="211">
        <v>55</v>
      </c>
      <c r="L33" s="211">
        <v>55.2</v>
      </c>
      <c r="M33" s="211"/>
      <c r="N33" s="211"/>
      <c r="O33" s="211"/>
      <c r="P33" s="211"/>
      <c r="Q33" s="211">
        <v>125</v>
      </c>
      <c r="R33" s="211" t="s">
        <v>61</v>
      </c>
      <c r="S33" s="211" t="s">
        <v>60</v>
      </c>
      <c r="T33" s="211" t="s">
        <v>629</v>
      </c>
      <c r="U33" s="211"/>
      <c r="V33" s="211"/>
    </row>
    <row r="34" spans="1:22" x14ac:dyDescent="0.3">
      <c r="A34" s="212"/>
      <c r="B34" s="212"/>
      <c r="C34" s="211"/>
      <c r="D34" s="211"/>
      <c r="E34" s="211"/>
      <c r="F34" s="211"/>
      <c r="G34" s="211"/>
      <c r="H34" s="215"/>
      <c r="I34" s="215"/>
      <c r="J34" s="211"/>
      <c r="K34" s="211"/>
      <c r="L34" s="211"/>
      <c r="M34" s="211"/>
      <c r="N34" s="211"/>
      <c r="O34" s="211"/>
      <c r="P34" s="211"/>
      <c r="Q34" s="211"/>
      <c r="R34" s="211"/>
      <c r="S34" s="211"/>
      <c r="T34" s="211"/>
      <c r="U34" s="211"/>
      <c r="V34" s="211"/>
    </row>
    <row r="35" spans="1:22" x14ac:dyDescent="0.3">
      <c r="A35" s="212"/>
      <c r="B35" s="212"/>
      <c r="C35" s="211"/>
      <c r="D35" s="211"/>
      <c r="E35" s="211"/>
      <c r="F35" s="211"/>
      <c r="G35" s="211"/>
      <c r="H35" s="215"/>
      <c r="I35" s="215"/>
      <c r="J35" s="211"/>
      <c r="K35" s="211"/>
      <c r="L35" s="211"/>
      <c r="M35" s="211"/>
      <c r="N35" s="211"/>
      <c r="O35" s="211"/>
      <c r="P35" s="211"/>
      <c r="Q35" s="211"/>
      <c r="R35" s="211"/>
      <c r="S35" s="211"/>
      <c r="T35" s="211"/>
      <c r="U35" s="211"/>
      <c r="V35" s="211"/>
    </row>
    <row r="36" spans="1:22" x14ac:dyDescent="0.3">
      <c r="A36" s="212"/>
      <c r="B36" s="212"/>
      <c r="C36" s="211"/>
      <c r="D36" s="211"/>
      <c r="E36" s="211"/>
      <c r="F36" s="211"/>
      <c r="G36" s="211"/>
      <c r="H36" s="215"/>
      <c r="I36" s="215"/>
      <c r="J36" s="211"/>
      <c r="K36" s="211"/>
      <c r="L36" s="211"/>
      <c r="M36" s="211"/>
      <c r="N36" s="211"/>
      <c r="O36" s="211"/>
      <c r="P36" s="211"/>
      <c r="Q36" s="211"/>
      <c r="R36" s="211"/>
      <c r="S36" s="211"/>
      <c r="T36" s="211"/>
      <c r="U36" s="211"/>
      <c r="V36" s="211"/>
    </row>
    <row r="37" spans="1:22" x14ac:dyDescent="0.3">
      <c r="A37" s="212"/>
      <c r="B37" s="212"/>
      <c r="C37" s="211"/>
      <c r="D37" s="211"/>
      <c r="E37" s="211"/>
      <c r="F37" s="211"/>
      <c r="G37" s="211"/>
      <c r="H37" s="215"/>
      <c r="I37" s="215"/>
      <c r="J37" s="211"/>
      <c r="K37" s="211"/>
      <c r="L37" s="211"/>
      <c r="M37" s="211"/>
      <c r="N37" s="211"/>
      <c r="O37" s="211"/>
      <c r="P37" s="211"/>
      <c r="Q37" s="211"/>
      <c r="R37" s="211"/>
      <c r="S37" s="211"/>
      <c r="T37" s="211"/>
      <c r="U37" s="211"/>
      <c r="V37" s="211"/>
    </row>
    <row r="38" spans="1:22" x14ac:dyDescent="0.3">
      <c r="A38" s="212"/>
      <c r="B38" s="212"/>
      <c r="C38" s="211"/>
      <c r="D38" s="211"/>
      <c r="E38" s="211"/>
      <c r="F38" s="211"/>
      <c r="G38" s="211"/>
      <c r="H38" s="215"/>
      <c r="I38" s="215"/>
      <c r="J38" s="211"/>
      <c r="K38" s="211"/>
      <c r="L38" s="211"/>
      <c r="M38" s="211"/>
      <c r="N38" s="211"/>
      <c r="O38" s="211"/>
      <c r="P38" s="211"/>
      <c r="Q38" s="211"/>
      <c r="R38" s="211"/>
      <c r="S38" s="211"/>
      <c r="T38" s="211"/>
      <c r="U38" s="211"/>
      <c r="V38" s="211"/>
    </row>
    <row r="39" spans="1:22" x14ac:dyDescent="0.3">
      <c r="A39" s="212"/>
      <c r="B39" s="212"/>
      <c r="C39" s="211"/>
      <c r="D39" s="211"/>
      <c r="E39" s="211"/>
      <c r="F39" s="211"/>
      <c r="G39" s="211"/>
      <c r="H39" s="215"/>
      <c r="I39" s="215"/>
      <c r="J39" s="211"/>
      <c r="K39" s="211"/>
      <c r="L39" s="211"/>
      <c r="M39" s="211"/>
      <c r="N39" s="211"/>
      <c r="O39" s="211"/>
      <c r="P39" s="211"/>
      <c r="Q39" s="211"/>
      <c r="R39" s="211"/>
      <c r="S39" s="211"/>
      <c r="T39" s="211"/>
      <c r="U39" s="211"/>
      <c r="V39" s="211"/>
    </row>
    <row r="40" spans="1:22" x14ac:dyDescent="0.3">
      <c r="C40" s="217"/>
      <c r="D40" s="217"/>
      <c r="E40" s="217"/>
      <c r="F40" s="217"/>
      <c r="G40" s="217"/>
      <c r="H40" s="217"/>
      <c r="I40" s="217"/>
      <c r="J40" s="217"/>
      <c r="K40" s="217"/>
      <c r="L40" s="217"/>
      <c r="M40" s="217"/>
      <c r="N40" s="217"/>
      <c r="O40" s="217"/>
      <c r="P40" s="217"/>
      <c r="Q40" s="217"/>
      <c r="R40" s="217"/>
      <c r="S40" s="217"/>
    </row>
    <row r="41" spans="1:22" x14ac:dyDescent="0.3">
      <c r="B41" s="284" t="s">
        <v>502</v>
      </c>
      <c r="C41" s="285"/>
      <c r="D41" s="285"/>
      <c r="E41" s="285"/>
    </row>
    <row r="66" spans="1:20" x14ac:dyDescent="0.3">
      <c r="A66" s="218"/>
      <c r="B66" s="218"/>
      <c r="C66" s="218"/>
      <c r="D66" s="218"/>
      <c r="E66" s="218"/>
      <c r="F66" s="218"/>
      <c r="G66" s="218"/>
      <c r="H66" s="218"/>
      <c r="I66" s="218"/>
      <c r="J66" s="218"/>
      <c r="K66" s="218"/>
      <c r="L66" s="218"/>
      <c r="M66" s="218"/>
      <c r="N66" s="218"/>
      <c r="O66" s="218"/>
      <c r="P66" s="218"/>
      <c r="Q66" s="218"/>
      <c r="R66" s="218"/>
      <c r="S66" s="218"/>
      <c r="T66" s="218"/>
    </row>
    <row r="67" spans="1:20" x14ac:dyDescent="0.3">
      <c r="A67" s="218"/>
      <c r="B67" s="218"/>
      <c r="C67" s="218"/>
      <c r="D67" s="218"/>
      <c r="E67" s="218"/>
      <c r="F67" s="218"/>
      <c r="G67" s="218"/>
      <c r="H67" s="218"/>
      <c r="I67" s="218"/>
      <c r="J67" s="218"/>
      <c r="K67" s="218"/>
      <c r="L67" s="218"/>
      <c r="M67" s="218"/>
      <c r="N67" s="218"/>
      <c r="O67" s="218"/>
      <c r="P67" s="218"/>
      <c r="Q67" s="218"/>
      <c r="R67" s="218"/>
      <c r="S67" s="218"/>
      <c r="T67" s="218"/>
    </row>
    <row r="68" spans="1:20" x14ac:dyDescent="0.3">
      <c r="A68" s="218"/>
      <c r="B68" s="218"/>
      <c r="C68" s="218"/>
      <c r="D68" s="218"/>
      <c r="E68" s="218"/>
      <c r="F68" s="218"/>
      <c r="G68" s="218"/>
      <c r="H68" s="218"/>
      <c r="I68" s="218"/>
      <c r="J68" s="218"/>
      <c r="K68" s="218"/>
      <c r="L68" s="218"/>
      <c r="M68" s="218"/>
      <c r="N68" s="218"/>
      <c r="O68" s="218"/>
      <c r="P68" s="218"/>
      <c r="Q68" s="218"/>
      <c r="R68" s="218"/>
      <c r="S68" s="218"/>
      <c r="T68" s="218"/>
    </row>
    <row r="69" spans="1:20" x14ac:dyDescent="0.3">
      <c r="A69" s="218"/>
      <c r="B69" s="218"/>
      <c r="C69" s="218"/>
      <c r="D69" s="218"/>
      <c r="E69" s="218"/>
      <c r="F69" s="218"/>
      <c r="G69" s="218"/>
      <c r="H69" s="218"/>
      <c r="I69" s="218"/>
      <c r="J69" s="218"/>
      <c r="K69" s="218"/>
      <c r="L69" s="218"/>
      <c r="M69" s="218"/>
      <c r="N69" s="218"/>
      <c r="O69" s="218"/>
      <c r="P69" s="218"/>
      <c r="Q69" s="218"/>
      <c r="R69" s="218"/>
      <c r="S69" s="218"/>
      <c r="T69" s="218"/>
    </row>
    <row r="70" spans="1:20" x14ac:dyDescent="0.3">
      <c r="A70" s="218"/>
      <c r="B70" s="218"/>
      <c r="C70" s="218"/>
      <c r="D70" s="218"/>
      <c r="E70" s="218"/>
      <c r="F70" s="218"/>
      <c r="G70" s="218"/>
      <c r="H70" s="218"/>
      <c r="I70" s="218"/>
      <c r="J70" s="218"/>
      <c r="K70" s="218"/>
      <c r="L70" s="218"/>
      <c r="M70" s="218"/>
      <c r="N70" s="218"/>
      <c r="O70" s="218"/>
      <c r="P70" s="218"/>
      <c r="Q70" s="218"/>
      <c r="R70" s="218"/>
      <c r="S70" s="218"/>
      <c r="T70" s="218"/>
    </row>
    <row r="71" spans="1:20" x14ac:dyDescent="0.3">
      <c r="A71" s="218"/>
      <c r="B71" s="218"/>
      <c r="C71" s="218"/>
      <c r="D71" s="218"/>
      <c r="E71" s="218"/>
      <c r="F71" s="218"/>
      <c r="G71" s="218"/>
      <c r="H71" s="218"/>
      <c r="I71" s="218"/>
      <c r="J71" s="218"/>
      <c r="K71" s="218"/>
      <c r="L71" s="218"/>
      <c r="M71" s="218"/>
      <c r="N71" s="218"/>
      <c r="O71" s="218"/>
      <c r="P71" s="218"/>
      <c r="Q71" s="218"/>
      <c r="R71" s="218"/>
      <c r="S71" s="218"/>
      <c r="T71" s="218"/>
    </row>
    <row r="72" spans="1:20" x14ac:dyDescent="0.3">
      <c r="A72" s="218"/>
      <c r="B72" s="218"/>
      <c r="C72" s="218"/>
      <c r="D72" s="218"/>
      <c r="E72" s="218"/>
      <c r="F72" s="218"/>
      <c r="G72" s="218"/>
      <c r="H72" s="218"/>
      <c r="I72" s="218"/>
      <c r="J72" s="218"/>
      <c r="K72" s="218"/>
      <c r="L72" s="218"/>
      <c r="M72" s="218"/>
      <c r="N72" s="218"/>
      <c r="O72" s="218"/>
      <c r="P72" s="218"/>
      <c r="Q72" s="218"/>
      <c r="R72" s="218"/>
      <c r="S72" s="218"/>
      <c r="T72" s="218"/>
    </row>
    <row r="73" spans="1:20" x14ac:dyDescent="0.3">
      <c r="A73" s="218"/>
      <c r="B73" s="218"/>
      <c r="C73" s="218"/>
      <c r="D73" s="218"/>
      <c r="E73" s="218"/>
      <c r="F73" s="218"/>
      <c r="G73" s="218"/>
      <c r="H73" s="218"/>
      <c r="I73" s="218"/>
      <c r="J73" s="218"/>
      <c r="K73" s="218"/>
      <c r="L73" s="218"/>
      <c r="M73" s="218"/>
      <c r="N73" s="218"/>
      <c r="O73" s="218"/>
      <c r="P73" s="218"/>
      <c r="Q73" s="218"/>
      <c r="R73" s="218"/>
      <c r="S73" s="218"/>
      <c r="T73" s="218"/>
    </row>
    <row r="74" spans="1:20" x14ac:dyDescent="0.3">
      <c r="A74" s="218"/>
      <c r="B74" s="218"/>
      <c r="C74" s="218"/>
      <c r="D74" s="218"/>
      <c r="E74" s="218"/>
      <c r="F74" s="218"/>
      <c r="G74" s="218"/>
      <c r="H74" s="218"/>
      <c r="I74" s="218"/>
      <c r="J74" s="218"/>
      <c r="K74" s="218"/>
      <c r="L74" s="218"/>
      <c r="M74" s="218"/>
      <c r="N74" s="218"/>
      <c r="O74" s="218"/>
      <c r="P74" s="218"/>
      <c r="Q74" s="218"/>
      <c r="R74" s="218"/>
      <c r="S74" s="218"/>
      <c r="T74" s="218"/>
    </row>
    <row r="75" spans="1:20" x14ac:dyDescent="0.3">
      <c r="A75" s="218"/>
      <c r="B75" s="218"/>
      <c r="C75" s="218"/>
      <c r="D75" s="218"/>
      <c r="E75" s="218"/>
      <c r="F75" s="218"/>
      <c r="G75" s="218"/>
      <c r="H75" s="218"/>
      <c r="I75" s="218"/>
      <c r="J75" s="218"/>
      <c r="K75" s="218"/>
      <c r="L75" s="218"/>
      <c r="M75" s="218"/>
      <c r="N75" s="218"/>
      <c r="O75" s="218"/>
      <c r="P75" s="218"/>
      <c r="Q75" s="218"/>
      <c r="R75" s="218"/>
      <c r="S75" s="218"/>
      <c r="T75" s="218"/>
    </row>
    <row r="76" spans="1:20" x14ac:dyDescent="0.3">
      <c r="A76" s="218"/>
      <c r="B76" s="218"/>
      <c r="C76" s="218"/>
      <c r="D76" s="218"/>
      <c r="E76" s="218"/>
      <c r="F76" s="218"/>
      <c r="G76" s="218"/>
      <c r="H76" s="218"/>
      <c r="I76" s="218"/>
      <c r="J76" s="218"/>
      <c r="K76" s="218"/>
      <c r="L76" s="218"/>
      <c r="M76" s="218"/>
      <c r="N76" s="218"/>
      <c r="O76" s="218"/>
      <c r="P76" s="218"/>
      <c r="Q76" s="218"/>
      <c r="R76" s="218"/>
      <c r="S76" s="218"/>
      <c r="T76" s="218"/>
    </row>
    <row r="77" spans="1:20" x14ac:dyDescent="0.3">
      <c r="A77" s="218"/>
      <c r="B77" s="218"/>
      <c r="C77" s="218"/>
      <c r="D77" s="218"/>
      <c r="E77" s="218"/>
      <c r="F77" s="218"/>
      <c r="G77" s="218"/>
      <c r="H77" s="218"/>
      <c r="I77" s="218"/>
      <c r="J77" s="218"/>
      <c r="K77" s="218"/>
      <c r="L77" s="218"/>
      <c r="M77" s="218"/>
      <c r="N77" s="218"/>
      <c r="O77" s="218"/>
      <c r="P77" s="218"/>
      <c r="Q77" s="218"/>
      <c r="R77" s="218"/>
      <c r="S77" s="218"/>
      <c r="T77" s="218"/>
    </row>
    <row r="78" spans="1:20" x14ac:dyDescent="0.3">
      <c r="A78" s="218"/>
      <c r="B78" s="218"/>
      <c r="C78" s="218"/>
      <c r="D78" s="218"/>
      <c r="E78" s="218"/>
      <c r="F78" s="218"/>
      <c r="G78" s="218"/>
      <c r="H78" s="218"/>
      <c r="I78" s="218"/>
      <c r="J78" s="218"/>
      <c r="K78" s="218"/>
      <c r="L78" s="218"/>
      <c r="M78" s="218"/>
      <c r="N78" s="218"/>
      <c r="O78" s="218"/>
      <c r="P78" s="218"/>
      <c r="Q78" s="218"/>
      <c r="R78" s="218"/>
      <c r="S78" s="218"/>
      <c r="T78" s="218"/>
    </row>
    <row r="79" spans="1:20" x14ac:dyDescent="0.3">
      <c r="A79" s="218"/>
      <c r="B79" s="218"/>
      <c r="C79" s="218"/>
      <c r="D79" s="218"/>
      <c r="E79" s="218"/>
      <c r="F79" s="218"/>
      <c r="G79" s="218"/>
      <c r="H79" s="218"/>
      <c r="I79" s="218"/>
      <c r="J79" s="218"/>
      <c r="K79" s="218"/>
      <c r="L79" s="218"/>
      <c r="M79" s="218"/>
      <c r="N79" s="218"/>
      <c r="O79" s="218"/>
      <c r="P79" s="218"/>
      <c r="Q79" s="218"/>
      <c r="R79" s="218"/>
      <c r="S79" s="218"/>
      <c r="T79" s="218"/>
    </row>
    <row r="80" spans="1:20" x14ac:dyDescent="0.3">
      <c r="A80" s="218"/>
      <c r="B80" s="218"/>
      <c r="C80" s="218"/>
      <c r="D80" s="218"/>
      <c r="E80" s="218"/>
      <c r="F80" s="218"/>
      <c r="G80" s="218"/>
      <c r="H80" s="218"/>
      <c r="I80" s="218"/>
      <c r="J80" s="218"/>
      <c r="K80" s="218"/>
      <c r="L80" s="218"/>
      <c r="M80" s="218"/>
      <c r="N80" s="218"/>
      <c r="O80" s="218"/>
      <c r="P80" s="218"/>
      <c r="Q80" s="218"/>
      <c r="R80" s="218"/>
      <c r="S80" s="218"/>
      <c r="T80" s="218"/>
    </row>
    <row r="81" spans="1:25" x14ac:dyDescent="0.3">
      <c r="A81" s="218"/>
      <c r="B81" s="218"/>
      <c r="C81" s="218"/>
      <c r="D81" s="218"/>
      <c r="E81" s="218"/>
      <c r="F81" s="218"/>
      <c r="G81" s="218"/>
      <c r="H81" s="218"/>
      <c r="I81" s="218"/>
      <c r="J81" s="218"/>
      <c r="K81" s="218"/>
      <c r="L81" s="218"/>
      <c r="M81" s="218"/>
      <c r="N81" s="218"/>
      <c r="O81" s="218"/>
      <c r="P81" s="218"/>
      <c r="Q81" s="218"/>
      <c r="R81" s="218"/>
      <c r="S81" s="218"/>
      <c r="T81" s="218"/>
    </row>
    <row r="82" spans="1:25" x14ac:dyDescent="0.3">
      <c r="A82" s="218"/>
      <c r="B82" s="218"/>
      <c r="C82" s="218"/>
      <c r="D82" s="218"/>
      <c r="E82" s="218"/>
      <c r="F82" s="218"/>
      <c r="G82" s="218"/>
      <c r="H82" s="218"/>
      <c r="I82" s="218"/>
      <c r="J82" s="218"/>
      <c r="K82" s="218"/>
      <c r="L82" s="218"/>
      <c r="M82" s="218"/>
      <c r="N82" s="218"/>
      <c r="O82" s="218"/>
      <c r="P82" s="218"/>
      <c r="Q82" s="218"/>
      <c r="R82" s="218"/>
      <c r="S82" s="218"/>
      <c r="T82" s="218"/>
    </row>
    <row r="83" spans="1:25" x14ac:dyDescent="0.3">
      <c r="A83" s="218"/>
      <c r="B83" s="218"/>
      <c r="C83" s="219"/>
      <c r="D83" s="219"/>
      <c r="E83" s="219"/>
      <c r="F83" s="219"/>
      <c r="G83" s="219"/>
      <c r="H83" s="219"/>
      <c r="I83" s="219"/>
      <c r="J83" s="219"/>
      <c r="K83" s="219"/>
      <c r="L83" s="219"/>
      <c r="M83" s="219"/>
      <c r="N83" s="219"/>
      <c r="O83" s="219"/>
      <c r="P83" s="219"/>
      <c r="Q83" s="219"/>
      <c r="R83" s="219"/>
      <c r="S83" s="219"/>
      <c r="T83" s="219"/>
      <c r="U83" s="219"/>
      <c r="V83" s="219"/>
      <c r="W83" s="219"/>
      <c r="X83" s="219"/>
      <c r="Y83" s="219"/>
    </row>
    <row r="84" spans="1:25" x14ac:dyDescent="0.3">
      <c r="A84" s="220" t="s">
        <v>69</v>
      </c>
      <c r="B84" s="220"/>
      <c r="C84" s="219"/>
      <c r="D84" s="219"/>
      <c r="E84" s="219"/>
      <c r="F84" s="219"/>
      <c r="G84" s="219"/>
      <c r="H84" s="219"/>
      <c r="I84" s="219"/>
      <c r="J84" s="219"/>
      <c r="K84" s="219"/>
      <c r="L84" s="219"/>
      <c r="M84" s="219"/>
      <c r="N84" s="219"/>
      <c r="O84" s="219"/>
      <c r="P84" s="219"/>
      <c r="Q84" s="219"/>
      <c r="R84" s="219"/>
      <c r="S84" s="219"/>
      <c r="T84" s="219"/>
      <c r="U84" s="219"/>
      <c r="V84" s="219"/>
      <c r="W84" s="219" t="s">
        <v>307</v>
      </c>
      <c r="X84" s="219"/>
      <c r="Y84" s="219"/>
    </row>
    <row r="85" spans="1:25" x14ac:dyDescent="0.3">
      <c r="A85" s="221" t="s">
        <v>20</v>
      </c>
      <c r="B85" s="221"/>
      <c r="C85" s="219"/>
      <c r="D85" s="219" t="s">
        <v>96</v>
      </c>
      <c r="E85" s="219"/>
      <c r="F85" s="219" t="s">
        <v>54</v>
      </c>
      <c r="G85" s="219">
        <v>0</v>
      </c>
      <c r="H85" s="222">
        <f>Valeur_nWRG_1-Valeur_qconduits</f>
        <v>0.84</v>
      </c>
      <c r="I85" s="222">
        <f>Valeur_nWRG_2-Valeur_qconduits</f>
        <v>0.84</v>
      </c>
      <c r="J85" s="219" t="s">
        <v>60</v>
      </c>
      <c r="K85" s="219">
        <f>205*24</f>
        <v>4920</v>
      </c>
      <c r="L85" s="219"/>
      <c r="M85" s="219"/>
      <c r="N85" s="219"/>
      <c r="O85" s="219"/>
      <c r="P85" s="219" t="s">
        <v>149</v>
      </c>
      <c r="Q85" s="219">
        <v>0</v>
      </c>
      <c r="R85" s="219"/>
      <c r="S85" s="219" t="s">
        <v>296</v>
      </c>
      <c r="T85" s="219">
        <v>5</v>
      </c>
      <c r="U85" s="219"/>
      <c r="V85" s="219" t="s">
        <v>305</v>
      </c>
      <c r="W85" s="219">
        <v>3</v>
      </c>
      <c r="X85" s="219">
        <v>0</v>
      </c>
      <c r="Y85" s="219"/>
    </row>
    <row r="86" spans="1:25" x14ac:dyDescent="0.3">
      <c r="A86" s="221" t="s">
        <v>22</v>
      </c>
      <c r="B86" s="223">
        <v>2532</v>
      </c>
      <c r="C86" s="219"/>
      <c r="D86" s="219" t="s">
        <v>97</v>
      </c>
      <c r="E86" s="219"/>
      <c r="F86" s="219" t="s">
        <v>57</v>
      </c>
      <c r="G86" s="219">
        <v>0.15</v>
      </c>
      <c r="H86" s="222">
        <f>Valeur_nWRG_1-Valeur_qconduits</f>
        <v>0.84</v>
      </c>
      <c r="I86" s="222">
        <f>Valeur_nWRG_2-Valeur_qconduits</f>
        <v>0.84</v>
      </c>
      <c r="J86" s="219" t="s">
        <v>61</v>
      </c>
      <c r="K86" s="219">
        <v>8760</v>
      </c>
      <c r="L86" s="219"/>
      <c r="M86" s="219" t="s">
        <v>71</v>
      </c>
      <c r="N86" s="219">
        <v>15</v>
      </c>
      <c r="O86" s="219"/>
      <c r="P86" s="219" t="s">
        <v>148</v>
      </c>
      <c r="Q86" s="219">
        <v>0.5</v>
      </c>
      <c r="R86" s="219"/>
      <c r="S86" s="219" t="s">
        <v>298</v>
      </c>
      <c r="T86" s="219">
        <v>3</v>
      </c>
      <c r="U86" s="219"/>
      <c r="V86" s="219" t="s">
        <v>306</v>
      </c>
      <c r="W86" s="219">
        <v>8</v>
      </c>
      <c r="X86" s="219">
        <f>1.5*Valeur_Vn50*Choix_nété</f>
        <v>521.25</v>
      </c>
      <c r="Y86" s="219"/>
    </row>
    <row r="87" spans="1:25" x14ac:dyDescent="0.3">
      <c r="A87" s="221" t="s">
        <v>23</v>
      </c>
      <c r="B87" s="223">
        <v>2535</v>
      </c>
      <c r="C87" s="219"/>
      <c r="D87" s="219" t="s">
        <v>86</v>
      </c>
      <c r="E87" s="219"/>
      <c r="F87" s="219" t="s">
        <v>55</v>
      </c>
      <c r="G87" s="219">
        <v>0</v>
      </c>
      <c r="H87" s="219">
        <v>0</v>
      </c>
      <c r="I87" s="219">
        <v>0</v>
      </c>
      <c r="J87" s="219"/>
      <c r="K87" s="219"/>
      <c r="L87" s="219"/>
      <c r="M87" s="219" t="s">
        <v>72</v>
      </c>
      <c r="N87" s="219">
        <v>20</v>
      </c>
      <c r="O87" s="219"/>
      <c r="P87" s="219" t="s">
        <v>152</v>
      </c>
      <c r="Q87" s="219">
        <v>1</v>
      </c>
      <c r="R87" s="219"/>
      <c r="S87" s="219" t="s">
        <v>299</v>
      </c>
      <c r="T87" s="219">
        <v>1.5</v>
      </c>
      <c r="U87" s="219"/>
      <c r="V87" s="219" t="s">
        <v>308</v>
      </c>
      <c r="W87" s="219">
        <v>-5</v>
      </c>
      <c r="X87" s="219">
        <f>2.5*Valeur_Vn50*Choix_nété</f>
        <v>868.75</v>
      </c>
      <c r="Y87" s="219"/>
    </row>
    <row r="88" spans="1:25" x14ac:dyDescent="0.3">
      <c r="A88" s="221" t="s">
        <v>25</v>
      </c>
      <c r="B88" s="223">
        <v>2591</v>
      </c>
      <c r="C88" s="219"/>
      <c r="D88" s="219"/>
      <c r="E88" s="219"/>
      <c r="F88" s="219" t="s">
        <v>56</v>
      </c>
      <c r="G88" s="219">
        <v>0.15</v>
      </c>
      <c r="H88" s="219">
        <v>0</v>
      </c>
      <c r="I88" s="219">
        <v>0</v>
      </c>
      <c r="J88" s="219"/>
      <c r="K88" s="219"/>
      <c r="L88" s="219"/>
      <c r="M88" s="219"/>
      <c r="N88" s="219"/>
      <c r="O88" s="219"/>
      <c r="P88" s="219" t="s">
        <v>150</v>
      </c>
      <c r="Q88" s="219">
        <v>2</v>
      </c>
      <c r="R88" s="219"/>
      <c r="S88" s="219" t="s">
        <v>297</v>
      </c>
      <c r="T88" s="219">
        <v>0.6</v>
      </c>
      <c r="U88" s="219"/>
      <c r="V88" s="219"/>
      <c r="W88" s="219"/>
      <c r="X88" s="219"/>
      <c r="Y88" s="219"/>
    </row>
    <row r="89" spans="1:25" x14ac:dyDescent="0.3">
      <c r="A89" s="221" t="s">
        <v>27</v>
      </c>
      <c r="B89" s="223">
        <v>2037</v>
      </c>
      <c r="C89" s="219"/>
      <c r="D89" s="219"/>
      <c r="E89" s="219"/>
      <c r="F89" s="219"/>
      <c r="G89" s="219"/>
      <c r="H89" s="219"/>
      <c r="I89" s="219"/>
      <c r="J89" s="219"/>
      <c r="K89" s="219"/>
      <c r="L89" s="219"/>
      <c r="M89" s="219" t="s">
        <v>73</v>
      </c>
      <c r="N89" s="219">
        <f>IF('Calcul rentabilité VMC'!H29=M86,0.1,0.03)</f>
        <v>0.1</v>
      </c>
      <c r="O89" s="219"/>
      <c r="P89" s="219" t="s">
        <v>151</v>
      </c>
      <c r="Q89" s="219">
        <v>4</v>
      </c>
      <c r="R89" s="219"/>
      <c r="S89" s="219" t="s">
        <v>300</v>
      </c>
      <c r="T89" s="219">
        <v>0.3</v>
      </c>
      <c r="U89" s="219"/>
      <c r="V89" s="219"/>
      <c r="W89" s="219"/>
      <c r="X89" s="219"/>
      <c r="Y89" s="219"/>
    </row>
    <row r="90" spans="1:25" x14ac:dyDescent="0.3">
      <c r="A90" s="221" t="s">
        <v>30</v>
      </c>
      <c r="B90" s="223">
        <v>2673</v>
      </c>
      <c r="C90" s="219"/>
      <c r="D90" s="219"/>
      <c r="E90" s="219"/>
      <c r="F90" s="219"/>
      <c r="G90" s="219"/>
      <c r="H90" s="219"/>
      <c r="I90" s="219"/>
      <c r="J90" s="219"/>
      <c r="K90" s="219"/>
      <c r="L90" s="219"/>
      <c r="M90" s="219" t="s">
        <v>74</v>
      </c>
      <c r="N90" s="219">
        <f>IF('Calcul rentabilité VMC'!H29=M86,0.07,0.02)</f>
        <v>7.0000000000000007E-2</v>
      </c>
      <c r="O90" s="219"/>
      <c r="P90" s="219"/>
      <c r="Q90" s="219"/>
      <c r="R90" s="219"/>
      <c r="S90" s="219"/>
      <c r="T90" s="219"/>
      <c r="U90" s="219"/>
      <c r="V90" s="219"/>
      <c r="W90" s="219"/>
      <c r="X90" s="219"/>
      <c r="Y90" s="219"/>
    </row>
    <row r="91" spans="1:25" x14ac:dyDescent="0.3">
      <c r="A91" s="221" t="s">
        <v>31</v>
      </c>
      <c r="B91" s="223">
        <v>2665</v>
      </c>
      <c r="C91" s="219"/>
      <c r="D91" s="219"/>
      <c r="E91" s="219"/>
      <c r="F91" s="219"/>
      <c r="G91" s="219"/>
      <c r="H91" s="219"/>
      <c r="I91" s="219"/>
      <c r="J91" s="219"/>
      <c r="K91" s="219"/>
      <c r="L91" s="219"/>
      <c r="M91" s="219" t="s">
        <v>75</v>
      </c>
      <c r="N91" s="219">
        <f>IF('Calcul rentabilité VMC'!H29=M86,0.04,0.01)</f>
        <v>0.04</v>
      </c>
      <c r="O91" s="219"/>
      <c r="P91" s="219"/>
      <c r="Q91" s="219"/>
      <c r="R91" s="219"/>
      <c r="S91" s="219"/>
      <c r="T91" s="219"/>
      <c r="U91" s="219"/>
      <c r="V91" s="219"/>
      <c r="W91" s="219"/>
      <c r="X91" s="219"/>
      <c r="Y91" s="219"/>
    </row>
    <row r="92" spans="1:25" x14ac:dyDescent="0.3">
      <c r="A92" s="221" t="s">
        <v>33</v>
      </c>
      <c r="B92" s="223">
        <v>3033</v>
      </c>
      <c r="C92" s="219"/>
      <c r="D92" s="219"/>
      <c r="E92" s="219"/>
      <c r="F92" s="219"/>
      <c r="G92" s="219"/>
      <c r="H92" s="219"/>
      <c r="I92" s="219"/>
      <c r="J92" s="219"/>
      <c r="K92" s="219"/>
      <c r="L92" s="219"/>
      <c r="M92" s="219"/>
      <c r="N92" s="219"/>
      <c r="O92" s="219"/>
      <c r="P92" s="219" t="s">
        <v>155</v>
      </c>
      <c r="Q92" s="219">
        <v>4.5</v>
      </c>
      <c r="R92" s="219"/>
      <c r="S92" s="219"/>
      <c r="T92" s="219"/>
      <c r="U92" s="219"/>
      <c r="V92" s="219"/>
      <c r="W92" s="219"/>
      <c r="X92" s="219"/>
      <c r="Y92" s="219"/>
    </row>
    <row r="93" spans="1:25" x14ac:dyDescent="0.3">
      <c r="A93" s="221" t="s">
        <v>35</v>
      </c>
      <c r="B93" s="223">
        <v>2520</v>
      </c>
      <c r="C93" s="224"/>
      <c r="D93" s="219"/>
      <c r="E93" s="219"/>
      <c r="F93" s="219"/>
      <c r="G93" s="219"/>
      <c r="H93" s="219"/>
      <c r="I93" s="219"/>
      <c r="J93" s="219"/>
      <c r="K93" s="219"/>
      <c r="L93" s="219"/>
      <c r="M93" s="219"/>
      <c r="N93" s="219"/>
      <c r="O93" s="219"/>
      <c r="P93" s="219" t="s">
        <v>157</v>
      </c>
      <c r="Q93" s="219">
        <v>3</v>
      </c>
      <c r="R93" s="219"/>
      <c r="S93" s="219"/>
      <c r="T93" s="219"/>
      <c r="U93" s="219"/>
      <c r="V93" s="219"/>
      <c r="W93" s="219"/>
      <c r="X93" s="219"/>
      <c r="Y93" s="219"/>
    </row>
    <row r="94" spans="1:25" x14ac:dyDescent="0.3">
      <c r="A94" s="225" t="s">
        <v>123</v>
      </c>
      <c r="B94" s="223">
        <v>1703</v>
      </c>
      <c r="C94" s="224"/>
      <c r="D94" s="219"/>
      <c r="E94" s="219"/>
      <c r="F94" s="219"/>
      <c r="G94" s="219"/>
      <c r="H94" s="219"/>
      <c r="I94" s="219"/>
      <c r="J94" s="219"/>
      <c r="K94" s="219"/>
      <c r="L94" s="219"/>
      <c r="M94" s="219"/>
      <c r="N94" s="219"/>
      <c r="O94" s="219"/>
      <c r="P94" s="219"/>
      <c r="Q94" s="219"/>
      <c r="R94" s="219"/>
      <c r="S94" s="219"/>
      <c r="T94" s="219"/>
      <c r="U94" s="219"/>
      <c r="V94" s="219"/>
      <c r="W94" s="219"/>
      <c r="X94" s="219"/>
      <c r="Y94" s="219"/>
    </row>
    <row r="95" spans="1:25" x14ac:dyDescent="0.3">
      <c r="A95" s="221" t="s">
        <v>36</v>
      </c>
      <c r="B95" s="223">
        <v>2403</v>
      </c>
      <c r="C95" s="224"/>
      <c r="D95" s="219"/>
      <c r="E95" s="224"/>
      <c r="F95" s="219"/>
      <c r="G95" s="219"/>
      <c r="H95" s="219"/>
      <c r="I95" s="219"/>
      <c r="J95" s="219"/>
      <c r="K95" s="219"/>
      <c r="L95" s="219"/>
      <c r="M95" s="219"/>
      <c r="N95" s="219"/>
      <c r="O95" s="219"/>
      <c r="P95" s="219"/>
      <c r="Q95" s="219"/>
      <c r="R95" s="219"/>
      <c r="S95" s="219"/>
      <c r="T95" s="219"/>
      <c r="U95" s="219"/>
      <c r="V95" s="219"/>
      <c r="W95" s="219"/>
      <c r="X95" s="219"/>
      <c r="Y95" s="219"/>
    </row>
    <row r="96" spans="1:25" x14ac:dyDescent="0.3">
      <c r="A96" s="225" t="s">
        <v>158</v>
      </c>
      <c r="B96" s="223">
        <v>2163</v>
      </c>
      <c r="C96" s="224"/>
      <c r="D96" s="226"/>
      <c r="E96" s="224"/>
      <c r="F96" s="219"/>
      <c r="G96" s="219"/>
      <c r="H96" s="219"/>
      <c r="I96" s="219"/>
      <c r="J96" s="219"/>
      <c r="K96" s="219"/>
      <c r="L96" s="219"/>
      <c r="M96" s="219"/>
      <c r="N96" s="219"/>
      <c r="O96" s="219"/>
      <c r="P96" s="219"/>
      <c r="Q96" s="219"/>
      <c r="R96" s="219"/>
      <c r="S96" s="219"/>
      <c r="T96" s="219"/>
      <c r="U96" s="219"/>
      <c r="V96" s="219"/>
      <c r="W96" s="219"/>
      <c r="X96" s="219"/>
      <c r="Y96" s="219"/>
    </row>
    <row r="97" spans="1:25" x14ac:dyDescent="0.3">
      <c r="A97" s="225" t="s">
        <v>159</v>
      </c>
      <c r="B97" s="223">
        <v>1990</v>
      </c>
      <c r="C97" s="224"/>
      <c r="D97" s="224"/>
      <c r="E97" s="224"/>
      <c r="F97" s="219"/>
      <c r="G97" s="219"/>
      <c r="H97" s="219"/>
      <c r="I97" s="219"/>
      <c r="J97" s="219"/>
      <c r="K97" s="219"/>
      <c r="L97" s="219"/>
      <c r="M97" s="219"/>
      <c r="N97" s="219"/>
      <c r="O97" s="219"/>
      <c r="P97" s="219"/>
      <c r="Q97" s="219"/>
      <c r="R97" s="219"/>
      <c r="S97" s="219"/>
      <c r="T97" s="219"/>
      <c r="U97" s="219"/>
      <c r="V97" s="219"/>
      <c r="W97" s="219"/>
      <c r="X97" s="219"/>
      <c r="Y97" s="219"/>
    </row>
    <row r="98" spans="1:25" x14ac:dyDescent="0.3">
      <c r="A98" s="225" t="s">
        <v>160</v>
      </c>
      <c r="B98" s="223">
        <v>2406</v>
      </c>
      <c r="C98" s="224"/>
      <c r="D98" s="224"/>
      <c r="E98" s="227"/>
      <c r="F98" s="219"/>
      <c r="G98" s="219"/>
      <c r="H98" s="219"/>
      <c r="I98" s="219"/>
      <c r="J98" s="219"/>
      <c r="K98" s="219"/>
      <c r="L98" s="219"/>
      <c r="M98" s="219"/>
      <c r="N98" s="219"/>
      <c r="O98" s="219"/>
      <c r="P98" s="219"/>
      <c r="Q98" s="219"/>
      <c r="R98" s="219"/>
      <c r="S98" s="219"/>
      <c r="T98" s="219"/>
      <c r="U98" s="219"/>
      <c r="V98" s="219"/>
      <c r="W98" s="219"/>
      <c r="X98" s="219"/>
      <c r="Y98" s="219"/>
    </row>
    <row r="99" spans="1:25" x14ac:dyDescent="0.3">
      <c r="A99" s="221" t="s">
        <v>37</v>
      </c>
      <c r="B99" s="223">
        <v>2833</v>
      </c>
      <c r="C99" s="224"/>
      <c r="D99" s="224"/>
      <c r="E99" s="227"/>
      <c r="F99" s="219"/>
      <c r="G99" s="219"/>
      <c r="H99" s="219"/>
      <c r="I99" s="219"/>
      <c r="J99" s="219"/>
      <c r="K99" s="219"/>
      <c r="L99" s="219"/>
      <c r="M99" s="219"/>
      <c r="N99" s="219"/>
      <c r="O99" s="219"/>
      <c r="P99" s="219"/>
      <c r="Q99" s="219"/>
      <c r="R99" s="219"/>
      <c r="S99" s="219"/>
      <c r="T99" s="219"/>
      <c r="U99" s="219"/>
      <c r="V99" s="219"/>
      <c r="W99" s="219"/>
      <c r="X99" s="219"/>
      <c r="Y99" s="219"/>
    </row>
    <row r="100" spans="1:25" x14ac:dyDescent="0.3">
      <c r="A100" s="221" t="s">
        <v>38</v>
      </c>
      <c r="B100" s="223">
        <v>1354</v>
      </c>
      <c r="C100" s="224"/>
      <c r="D100" s="227"/>
      <c r="E100" s="224"/>
      <c r="F100" s="219"/>
      <c r="G100" s="219"/>
      <c r="H100" s="219"/>
      <c r="I100" s="219"/>
      <c r="J100" s="219"/>
      <c r="K100" s="219"/>
      <c r="L100" s="219"/>
      <c r="M100" s="219"/>
      <c r="N100" s="219"/>
      <c r="O100" s="219"/>
      <c r="P100" s="219"/>
      <c r="Q100" s="219"/>
      <c r="R100" s="219"/>
      <c r="S100" s="219"/>
      <c r="T100" s="219"/>
      <c r="U100" s="219"/>
      <c r="V100" s="219"/>
      <c r="W100" s="219"/>
      <c r="X100" s="219"/>
      <c r="Y100" s="219"/>
    </row>
    <row r="101" spans="1:25" x14ac:dyDescent="0.3">
      <c r="A101" s="225" t="s">
        <v>65</v>
      </c>
      <c r="B101" s="223">
        <v>2199</v>
      </c>
      <c r="C101" s="224"/>
      <c r="D101" s="227"/>
      <c r="E101" s="224"/>
      <c r="F101" s="219"/>
      <c r="G101" s="219"/>
      <c r="H101" s="219"/>
      <c r="I101" s="219"/>
      <c r="J101" s="219"/>
      <c r="K101" s="219"/>
      <c r="L101" s="219"/>
      <c r="M101" s="219"/>
      <c r="N101" s="219"/>
      <c r="O101" s="219"/>
      <c r="P101" s="219"/>
      <c r="Q101" s="219"/>
      <c r="R101" s="219"/>
      <c r="S101" s="219"/>
      <c r="T101" s="219"/>
      <c r="U101" s="219"/>
      <c r="V101" s="219"/>
      <c r="W101" s="219"/>
      <c r="X101" s="219"/>
      <c r="Y101" s="219"/>
    </row>
    <row r="102" spans="1:25" x14ac:dyDescent="0.3">
      <c r="A102" s="225" t="s">
        <v>66</v>
      </c>
      <c r="B102" s="223">
        <v>2308</v>
      </c>
      <c r="C102" s="228"/>
      <c r="D102" s="229">
        <v>8</v>
      </c>
      <c r="E102" s="230">
        <f>E101</f>
        <v>0</v>
      </c>
      <c r="F102" s="231"/>
      <c r="G102" s="231"/>
      <c r="H102" s="231"/>
      <c r="I102" s="231"/>
      <c r="J102" s="231"/>
      <c r="K102" s="231"/>
      <c r="L102" s="231"/>
      <c r="M102" s="231"/>
      <c r="N102" s="231"/>
      <c r="O102" s="231"/>
      <c r="P102" s="231"/>
      <c r="Q102" s="231"/>
      <c r="R102" s="231"/>
      <c r="S102" s="231"/>
      <c r="T102" s="231"/>
      <c r="U102" s="231"/>
      <c r="V102" s="231"/>
      <c r="W102" s="231"/>
      <c r="X102" s="231"/>
    </row>
    <row r="103" spans="1:25" x14ac:dyDescent="0.3">
      <c r="A103" s="225" t="s">
        <v>67</v>
      </c>
      <c r="B103" s="223">
        <v>2467</v>
      </c>
      <c r="C103" s="228"/>
      <c r="D103" s="231"/>
      <c r="E103" s="231"/>
      <c r="F103" s="231"/>
      <c r="G103" s="231"/>
      <c r="H103" s="231"/>
      <c r="I103" s="231"/>
      <c r="J103" s="231"/>
      <c r="K103" s="231"/>
      <c r="L103" s="231"/>
      <c r="M103" s="231"/>
      <c r="N103" s="231"/>
      <c r="O103" s="231"/>
      <c r="P103" s="231"/>
      <c r="Q103" s="231"/>
      <c r="R103" s="231"/>
      <c r="S103" s="231"/>
      <c r="T103" s="231"/>
      <c r="U103" s="231"/>
      <c r="V103" s="231"/>
      <c r="W103" s="231"/>
      <c r="X103" s="231"/>
    </row>
    <row r="104" spans="1:25" x14ac:dyDescent="0.3">
      <c r="A104" s="225" t="s">
        <v>68</v>
      </c>
      <c r="B104" s="232">
        <v>2499</v>
      </c>
      <c r="C104" s="218"/>
      <c r="D104" s="231"/>
      <c r="E104" s="231"/>
      <c r="F104" s="231"/>
      <c r="G104" s="233">
        <f>SUMPRODUCT((F85:F103=Choix_vmc_type)*(G85:G103))</f>
        <v>0</v>
      </c>
      <c r="H104" s="231"/>
      <c r="I104" s="231"/>
      <c r="J104" s="231"/>
      <c r="K104" s="231">
        <f>SUMPRODUCT((J85:J103='Calcul rentabilité VMC'!H64)*(K85:K103))</f>
        <v>8760</v>
      </c>
      <c r="L104" s="231"/>
      <c r="M104" s="231"/>
      <c r="N104" s="231"/>
      <c r="O104" s="231"/>
      <c r="P104" s="231" t="s">
        <v>156</v>
      </c>
      <c r="Q104" s="231">
        <v>0.6</v>
      </c>
      <c r="R104" s="231"/>
      <c r="S104" s="231"/>
      <c r="T104" s="231"/>
      <c r="U104" s="231"/>
      <c r="V104" s="231"/>
      <c r="W104" s="231"/>
      <c r="X104" s="231"/>
    </row>
    <row r="105" spans="1:25" x14ac:dyDescent="0.3">
      <c r="A105" s="225" t="s">
        <v>161</v>
      </c>
      <c r="B105" s="232">
        <v>1627</v>
      </c>
      <c r="C105" s="218"/>
      <c r="D105" s="231"/>
      <c r="E105" s="231"/>
      <c r="F105" s="231"/>
      <c r="G105" s="233">
        <f>SUMPRODUCT((F85:F103=Choix_vmc_type2)*(G85:G103))</f>
        <v>0</v>
      </c>
      <c r="H105" s="231"/>
      <c r="I105" s="231"/>
      <c r="J105" s="231"/>
      <c r="K105" s="231"/>
      <c r="L105" s="231"/>
      <c r="M105" s="231"/>
      <c r="N105" s="231"/>
      <c r="O105" s="231"/>
      <c r="P105" s="231"/>
      <c r="Q105" s="231"/>
      <c r="R105" s="231"/>
      <c r="S105" s="231"/>
      <c r="T105" s="231"/>
      <c r="U105" s="231"/>
      <c r="V105" s="231"/>
      <c r="W105" s="231"/>
      <c r="X105" s="231"/>
    </row>
    <row r="106" spans="1:25" x14ac:dyDescent="0.3">
      <c r="A106" s="225" t="s">
        <v>162</v>
      </c>
      <c r="B106" s="232">
        <v>2136</v>
      </c>
      <c r="C106" s="218"/>
      <c r="D106" s="231"/>
      <c r="E106" s="231"/>
      <c r="F106" s="231"/>
      <c r="G106" s="231"/>
      <c r="H106" s="231"/>
      <c r="I106" s="231"/>
      <c r="J106" s="231"/>
      <c r="K106" s="231"/>
      <c r="L106" s="231"/>
      <c r="M106" s="231"/>
      <c r="N106" s="231"/>
      <c r="O106" s="231"/>
      <c r="P106" s="231"/>
      <c r="Q106" s="231"/>
      <c r="R106" s="231"/>
      <c r="S106" s="231"/>
      <c r="T106" s="231"/>
      <c r="U106" s="231"/>
      <c r="V106" s="231"/>
      <c r="W106" s="231"/>
      <c r="X106" s="231"/>
    </row>
    <row r="107" spans="1:25" x14ac:dyDescent="0.3">
      <c r="A107" s="225" t="s">
        <v>163</v>
      </c>
      <c r="B107" s="232">
        <v>2487</v>
      </c>
      <c r="C107" s="218"/>
      <c r="D107" s="231"/>
      <c r="E107" s="231"/>
      <c r="F107" s="231"/>
      <c r="G107" s="231"/>
      <c r="H107" s="231"/>
      <c r="I107" s="231"/>
      <c r="J107" s="231"/>
      <c r="K107" s="231"/>
      <c r="L107" s="231"/>
      <c r="M107" s="231"/>
      <c r="N107" s="231"/>
      <c r="O107" s="231"/>
      <c r="P107" s="231"/>
      <c r="Q107" s="231"/>
      <c r="R107" s="231"/>
      <c r="S107" s="231"/>
      <c r="T107" s="231"/>
      <c r="U107" s="231"/>
      <c r="V107" s="231"/>
      <c r="W107" s="231"/>
      <c r="X107" s="231"/>
    </row>
    <row r="108" spans="1:25" x14ac:dyDescent="0.3">
      <c r="A108" s="225" t="s">
        <v>164</v>
      </c>
      <c r="B108" s="232">
        <v>2035</v>
      </c>
      <c r="C108" s="218"/>
      <c r="D108" s="218"/>
      <c r="E108" s="218"/>
      <c r="F108" s="218"/>
      <c r="G108" s="218"/>
      <c r="H108" s="218"/>
      <c r="I108" s="218"/>
      <c r="J108" s="218"/>
      <c r="K108" s="218"/>
      <c r="L108" s="218"/>
      <c r="M108" s="218"/>
      <c r="N108" s="218"/>
      <c r="O108" s="218"/>
      <c r="P108" s="218"/>
      <c r="Q108" s="218"/>
      <c r="R108" s="218"/>
      <c r="S108" s="218"/>
      <c r="T108" s="218"/>
      <c r="U108" s="231"/>
      <c r="V108" s="231"/>
      <c r="W108" s="231"/>
      <c r="X108" s="231"/>
    </row>
    <row r="109" spans="1:25" x14ac:dyDescent="0.3">
      <c r="A109" s="225" t="s">
        <v>165</v>
      </c>
      <c r="B109" s="232">
        <v>2292</v>
      </c>
      <c r="C109" s="218"/>
      <c r="D109" s="218"/>
      <c r="E109" s="218"/>
      <c r="F109" s="218"/>
      <c r="G109" s="218"/>
      <c r="H109" s="218"/>
      <c r="I109" s="218"/>
      <c r="J109" s="218"/>
      <c r="K109" s="218"/>
      <c r="L109" s="218"/>
      <c r="M109" s="218"/>
      <c r="N109" s="218"/>
      <c r="O109" s="218"/>
      <c r="P109" s="218"/>
      <c r="Q109" s="218"/>
      <c r="R109" s="218"/>
      <c r="S109" s="218"/>
      <c r="T109" s="218"/>
      <c r="U109" s="231"/>
      <c r="V109" s="231"/>
      <c r="W109" s="231"/>
      <c r="X109" s="231"/>
    </row>
    <row r="110" spans="1:25" x14ac:dyDescent="0.3">
      <c r="A110" s="225" t="s">
        <v>166</v>
      </c>
      <c r="B110" s="232">
        <v>2338</v>
      </c>
      <c r="C110" s="218"/>
      <c r="D110" s="218"/>
      <c r="E110" s="218"/>
      <c r="F110" s="218"/>
      <c r="G110" s="218"/>
      <c r="H110" s="218"/>
      <c r="I110" s="218"/>
      <c r="J110" s="218"/>
      <c r="K110" s="218"/>
      <c r="L110" s="218"/>
      <c r="M110" s="218"/>
      <c r="N110" s="218"/>
      <c r="O110" s="218"/>
      <c r="P110" s="218"/>
      <c r="Q110" s="218"/>
      <c r="R110" s="218"/>
      <c r="S110" s="218"/>
      <c r="T110" s="218"/>
      <c r="U110" s="231"/>
      <c r="V110" s="231"/>
      <c r="W110" s="231"/>
      <c r="X110" s="231"/>
    </row>
    <row r="111" spans="1:25" x14ac:dyDescent="0.3">
      <c r="A111" s="225" t="s">
        <v>167</v>
      </c>
      <c r="B111" s="232">
        <v>2614</v>
      </c>
      <c r="C111" s="218"/>
      <c r="D111" s="218"/>
      <c r="E111" s="218"/>
      <c r="F111" s="218"/>
      <c r="G111" s="218"/>
      <c r="H111" s="218"/>
      <c r="I111" s="218"/>
      <c r="J111" s="218"/>
      <c r="K111" s="218"/>
      <c r="L111" s="218"/>
      <c r="M111" s="218"/>
      <c r="N111" s="218"/>
      <c r="O111" s="218"/>
      <c r="P111" s="218"/>
      <c r="Q111" s="218"/>
      <c r="R111" s="218"/>
      <c r="S111" s="218"/>
      <c r="T111" s="218"/>
      <c r="U111" s="231"/>
      <c r="V111" s="231"/>
      <c r="W111" s="231"/>
      <c r="X111" s="231"/>
    </row>
    <row r="112" spans="1:25" x14ac:dyDescent="0.3">
      <c r="A112" s="225" t="s">
        <v>168</v>
      </c>
      <c r="B112" s="232">
        <v>2693</v>
      </c>
      <c r="C112" s="218"/>
      <c r="D112" s="218"/>
      <c r="E112" s="218"/>
      <c r="F112" s="218"/>
      <c r="G112" s="218"/>
      <c r="H112" s="218"/>
      <c r="I112" s="218"/>
      <c r="J112" s="218"/>
      <c r="K112" s="218"/>
      <c r="L112" s="218"/>
      <c r="M112" s="218"/>
      <c r="N112" s="218"/>
      <c r="O112" s="218"/>
      <c r="P112" s="218"/>
      <c r="Q112" s="218"/>
      <c r="R112" s="218"/>
      <c r="S112" s="218"/>
      <c r="T112" s="218"/>
      <c r="U112" s="231"/>
      <c r="V112" s="231"/>
      <c r="W112" s="231"/>
      <c r="X112" s="231"/>
    </row>
    <row r="113" spans="1:24" x14ac:dyDescent="0.3">
      <c r="A113" s="225" t="s">
        <v>169</v>
      </c>
      <c r="B113" s="232">
        <v>1432</v>
      </c>
      <c r="C113" s="218"/>
      <c r="D113" s="218"/>
      <c r="E113" s="218"/>
      <c r="F113" s="218"/>
      <c r="G113" s="218"/>
      <c r="H113" s="218"/>
      <c r="I113" s="218"/>
      <c r="J113" s="218"/>
      <c r="K113" s="218"/>
      <c r="L113" s="218"/>
      <c r="M113" s="218"/>
      <c r="N113" s="218"/>
      <c r="O113" s="218"/>
      <c r="P113" s="218"/>
      <c r="Q113" s="218"/>
      <c r="R113" s="218"/>
      <c r="S113" s="218"/>
      <c r="T113" s="218"/>
      <c r="U113" s="231"/>
      <c r="V113" s="231"/>
      <c r="W113" s="231"/>
      <c r="X113" s="231"/>
    </row>
    <row r="114" spans="1:24" x14ac:dyDescent="0.3">
      <c r="A114" s="225" t="s">
        <v>170</v>
      </c>
      <c r="B114" s="232">
        <v>2048</v>
      </c>
      <c r="C114" s="218"/>
      <c r="D114" s="218"/>
      <c r="E114" s="218"/>
      <c r="F114" s="218"/>
      <c r="G114" s="218"/>
      <c r="H114" s="218"/>
      <c r="I114" s="218"/>
      <c r="J114" s="218"/>
      <c r="K114" s="218"/>
      <c r="L114" s="218"/>
      <c r="M114" s="218"/>
      <c r="N114" s="218"/>
      <c r="O114" s="218"/>
      <c r="P114" s="218"/>
      <c r="Q114" s="218"/>
      <c r="R114" s="218"/>
      <c r="S114" s="218"/>
      <c r="T114" s="218"/>
      <c r="U114" s="231"/>
      <c r="V114" s="231"/>
      <c r="W114" s="231"/>
      <c r="X114" s="231"/>
    </row>
    <row r="115" spans="1:24" x14ac:dyDescent="0.3">
      <c r="A115" s="225" t="s">
        <v>171</v>
      </c>
      <c r="B115" s="232">
        <v>1463</v>
      </c>
      <c r="C115" s="218"/>
      <c r="D115" s="218"/>
      <c r="E115" s="218"/>
      <c r="F115" s="218"/>
      <c r="G115" s="218"/>
      <c r="H115" s="218"/>
      <c r="I115" s="218"/>
      <c r="J115" s="218"/>
      <c r="K115" s="218"/>
      <c r="L115" s="218"/>
      <c r="M115" s="218"/>
      <c r="N115" s="218"/>
      <c r="O115" s="218"/>
      <c r="P115" s="218"/>
      <c r="Q115" s="218"/>
      <c r="R115" s="218"/>
      <c r="S115" s="218"/>
      <c r="T115" s="218"/>
      <c r="U115" s="231"/>
      <c r="V115" s="231"/>
      <c r="W115" s="231"/>
      <c r="X115" s="231"/>
    </row>
    <row r="116" spans="1:24" x14ac:dyDescent="0.3">
      <c r="A116" s="225" t="s">
        <v>172</v>
      </c>
      <c r="B116" s="232">
        <v>2948</v>
      </c>
      <c r="C116" s="218"/>
      <c r="D116" s="218"/>
      <c r="E116" s="218"/>
      <c r="F116" s="218"/>
      <c r="G116" s="218"/>
      <c r="H116" s="218"/>
      <c r="I116" s="218"/>
      <c r="J116" s="218"/>
      <c r="K116" s="218"/>
      <c r="L116" s="218"/>
      <c r="M116" s="218"/>
      <c r="N116" s="218"/>
      <c r="O116" s="218"/>
      <c r="P116" s="218"/>
      <c r="Q116" s="218"/>
      <c r="R116" s="218"/>
      <c r="S116" s="218"/>
      <c r="T116" s="218"/>
      <c r="U116" s="231"/>
      <c r="V116" s="231"/>
      <c r="W116" s="231"/>
      <c r="X116" s="231"/>
    </row>
    <row r="117" spans="1:24" x14ac:dyDescent="0.3">
      <c r="A117" s="225" t="s">
        <v>174</v>
      </c>
      <c r="B117" s="232">
        <v>3096</v>
      </c>
      <c r="C117" s="218"/>
      <c r="D117" s="218"/>
      <c r="E117" s="218"/>
      <c r="F117" s="218"/>
      <c r="G117" s="218"/>
      <c r="H117" s="218"/>
      <c r="I117" s="218"/>
      <c r="J117" s="218"/>
      <c r="K117" s="218"/>
      <c r="L117" s="218"/>
      <c r="M117" s="218"/>
      <c r="N117" s="218"/>
      <c r="O117" s="218"/>
      <c r="P117" s="218"/>
      <c r="Q117" s="218"/>
      <c r="R117" s="218"/>
      <c r="S117" s="218"/>
      <c r="T117" s="218"/>
      <c r="U117" s="231"/>
      <c r="V117" s="231"/>
      <c r="W117" s="231"/>
      <c r="X117" s="231"/>
    </row>
    <row r="118" spans="1:24" x14ac:dyDescent="0.3">
      <c r="A118" s="225" t="s">
        <v>175</v>
      </c>
      <c r="B118" s="232">
        <v>3996</v>
      </c>
      <c r="C118" s="218"/>
      <c r="D118" s="218"/>
      <c r="E118" s="218"/>
      <c r="F118" s="218"/>
      <c r="G118" s="218"/>
      <c r="H118" s="218"/>
      <c r="I118" s="218"/>
      <c r="J118" s="218"/>
      <c r="K118" s="218"/>
      <c r="L118" s="218"/>
      <c r="M118" s="218"/>
      <c r="N118" s="218"/>
      <c r="O118" s="218"/>
      <c r="P118" s="218"/>
      <c r="Q118" s="218"/>
      <c r="R118" s="218"/>
      <c r="S118" s="218"/>
      <c r="T118" s="218"/>
      <c r="U118" s="231"/>
      <c r="V118" s="231"/>
      <c r="W118" s="231"/>
      <c r="X118" s="231"/>
    </row>
    <row r="119" spans="1:24" x14ac:dyDescent="0.3">
      <c r="A119" s="225" t="s">
        <v>176</v>
      </c>
      <c r="B119" s="232">
        <v>2363</v>
      </c>
      <c r="C119" s="218"/>
      <c r="D119" s="218"/>
      <c r="E119" s="218"/>
      <c r="F119" s="218"/>
      <c r="G119" s="218"/>
      <c r="H119" s="218"/>
      <c r="I119" s="218"/>
      <c r="J119" s="218"/>
      <c r="K119" s="218"/>
      <c r="L119" s="218"/>
      <c r="M119" s="218"/>
      <c r="N119" s="218"/>
      <c r="O119" s="218"/>
      <c r="P119" s="218"/>
      <c r="Q119" s="218"/>
      <c r="R119" s="218"/>
      <c r="S119" s="218"/>
      <c r="T119" s="218"/>
      <c r="U119" s="231"/>
      <c r="V119" s="231"/>
      <c r="W119" s="231"/>
      <c r="X119" s="231"/>
    </row>
    <row r="120" spans="1:24" x14ac:dyDescent="0.3">
      <c r="A120" s="220"/>
      <c r="B120" s="220"/>
      <c r="C120" s="218"/>
      <c r="D120" s="218"/>
      <c r="E120" s="218"/>
      <c r="F120" s="218"/>
      <c r="G120" s="218"/>
      <c r="H120" s="218"/>
      <c r="I120" s="218"/>
      <c r="J120" s="218"/>
      <c r="K120" s="218"/>
      <c r="L120" s="218"/>
      <c r="M120" s="218"/>
      <c r="N120" s="218"/>
      <c r="O120" s="218"/>
      <c r="P120" s="218"/>
      <c r="Q120" s="218"/>
      <c r="R120" s="218"/>
      <c r="S120" s="218"/>
      <c r="T120" s="218"/>
      <c r="U120" s="231"/>
      <c r="V120" s="231"/>
      <c r="W120" s="231"/>
      <c r="X120" s="231"/>
    </row>
    <row r="121" spans="1:24" x14ac:dyDescent="0.3">
      <c r="A121" s="234"/>
      <c r="B121" s="234"/>
      <c r="C121" s="231"/>
      <c r="D121" s="231"/>
      <c r="E121" s="231"/>
      <c r="F121" s="231"/>
      <c r="G121" s="231"/>
      <c r="H121" s="231"/>
      <c r="I121" s="231"/>
      <c r="J121" s="231"/>
      <c r="K121" s="231"/>
      <c r="L121" s="231"/>
      <c r="M121" s="231"/>
      <c r="N121" s="231"/>
      <c r="O121" s="231"/>
      <c r="P121" s="231"/>
      <c r="Q121" s="231"/>
      <c r="R121" s="231"/>
      <c r="S121" s="231"/>
      <c r="T121" s="231"/>
      <c r="U121" s="231"/>
      <c r="V121" s="231"/>
      <c r="W121" s="231"/>
      <c r="X121" s="231"/>
    </row>
    <row r="122" spans="1:24" x14ac:dyDescent="0.3">
      <c r="A122" s="234"/>
      <c r="B122" s="234"/>
      <c r="C122" s="231"/>
      <c r="D122" s="231"/>
      <c r="E122" s="231"/>
      <c r="F122" s="231"/>
      <c r="G122" s="231"/>
      <c r="H122" s="231"/>
      <c r="I122" s="231"/>
      <c r="J122" s="231"/>
      <c r="K122" s="231"/>
      <c r="L122" s="231"/>
      <c r="M122" s="231"/>
      <c r="N122" s="231"/>
      <c r="O122" s="231"/>
      <c r="P122" s="231"/>
      <c r="Q122" s="231"/>
      <c r="R122" s="231"/>
      <c r="S122" s="231"/>
      <c r="T122" s="231"/>
      <c r="U122" s="231"/>
      <c r="V122" s="231"/>
      <c r="W122" s="231"/>
      <c r="X122" s="231"/>
    </row>
    <row r="123" spans="1:24" x14ac:dyDescent="0.3">
      <c r="A123" s="234"/>
      <c r="B123" s="234"/>
      <c r="C123" s="231"/>
      <c r="D123" s="231"/>
      <c r="E123" s="231"/>
      <c r="F123" s="231"/>
      <c r="G123" s="231"/>
      <c r="H123" s="231"/>
      <c r="I123" s="231"/>
      <c r="J123" s="231"/>
      <c r="K123" s="231"/>
      <c r="L123" s="231"/>
      <c r="M123" s="231"/>
      <c r="N123" s="231"/>
      <c r="O123" s="231"/>
      <c r="P123" s="231"/>
      <c r="Q123" s="231"/>
      <c r="R123" s="231"/>
      <c r="S123" s="231"/>
      <c r="T123" s="231"/>
      <c r="U123" s="231"/>
      <c r="V123" s="231"/>
      <c r="W123" s="231"/>
      <c r="X123" s="231"/>
    </row>
    <row r="124" spans="1:24" x14ac:dyDescent="0.3">
      <c r="A124" s="234"/>
      <c r="B124" s="234"/>
      <c r="C124" s="231"/>
      <c r="D124" s="231"/>
      <c r="E124" s="231"/>
      <c r="F124" s="231"/>
      <c r="G124" s="231"/>
      <c r="H124" s="231"/>
      <c r="I124" s="231"/>
      <c r="J124" s="231"/>
      <c r="K124" s="231"/>
      <c r="L124" s="231"/>
      <c r="M124" s="231"/>
      <c r="N124" s="231"/>
      <c r="O124" s="231"/>
      <c r="P124" s="231"/>
      <c r="Q124" s="231"/>
      <c r="R124" s="231"/>
      <c r="S124" s="231"/>
      <c r="T124" s="231"/>
      <c r="U124" s="231"/>
      <c r="V124" s="231"/>
      <c r="W124" s="231"/>
      <c r="X124" s="231"/>
    </row>
    <row r="125" spans="1:24" x14ac:dyDescent="0.3">
      <c r="A125" s="234"/>
      <c r="B125" s="234"/>
      <c r="C125" s="231"/>
      <c r="D125" s="231"/>
      <c r="E125" s="231"/>
      <c r="F125" s="231"/>
      <c r="G125" s="231"/>
      <c r="H125" s="231"/>
      <c r="I125" s="231"/>
      <c r="J125" s="231"/>
      <c r="K125" s="231"/>
      <c r="L125" s="231"/>
      <c r="M125" s="231"/>
      <c r="N125" s="231"/>
      <c r="O125" s="231"/>
      <c r="P125" s="231"/>
      <c r="Q125" s="231"/>
      <c r="R125" s="231"/>
      <c r="S125" s="231"/>
      <c r="T125" s="231"/>
      <c r="U125" s="231"/>
      <c r="V125" s="231"/>
      <c r="W125" s="231"/>
      <c r="X125" s="231"/>
    </row>
    <row r="126" spans="1:24" x14ac:dyDescent="0.3">
      <c r="A126" s="234"/>
      <c r="B126" s="234"/>
      <c r="C126" s="231"/>
      <c r="D126" s="231"/>
      <c r="E126" s="231"/>
      <c r="F126" s="231"/>
      <c r="G126" s="231"/>
      <c r="H126" s="231"/>
      <c r="I126" s="231"/>
      <c r="J126" s="231"/>
      <c r="K126" s="231"/>
      <c r="L126" s="231"/>
      <c r="M126" s="231"/>
      <c r="N126" s="231"/>
      <c r="O126" s="231"/>
      <c r="P126" s="231"/>
      <c r="Q126" s="231"/>
      <c r="R126" s="231"/>
      <c r="S126" s="231"/>
      <c r="T126" s="231"/>
      <c r="U126" s="231"/>
      <c r="V126" s="231"/>
      <c r="W126" s="231"/>
      <c r="X126" s="231"/>
    </row>
    <row r="127" spans="1:24" x14ac:dyDescent="0.3">
      <c r="A127" s="234"/>
      <c r="B127" s="234"/>
      <c r="C127" s="231"/>
      <c r="D127" s="231"/>
      <c r="E127" s="231"/>
      <c r="F127" s="231"/>
      <c r="G127" s="231"/>
      <c r="H127" s="231"/>
      <c r="I127" s="231"/>
      <c r="J127" s="231"/>
      <c r="K127" s="231"/>
      <c r="L127" s="231"/>
      <c r="M127" s="231"/>
      <c r="N127" s="231"/>
      <c r="O127" s="231"/>
      <c r="P127" s="231"/>
      <c r="Q127" s="231"/>
      <c r="R127" s="231"/>
      <c r="S127" s="231"/>
      <c r="T127" s="231"/>
      <c r="U127" s="231"/>
      <c r="V127" s="231"/>
      <c r="W127" s="231"/>
      <c r="X127" s="231"/>
    </row>
    <row r="128" spans="1:24" x14ac:dyDescent="0.3">
      <c r="A128" s="234"/>
      <c r="B128" s="234"/>
      <c r="C128" s="231"/>
      <c r="D128" s="231"/>
      <c r="E128" s="231"/>
      <c r="F128" s="231"/>
      <c r="G128" s="231"/>
      <c r="H128" s="231"/>
      <c r="I128" s="231"/>
      <c r="J128" s="231"/>
      <c r="K128" s="231"/>
      <c r="L128" s="231"/>
      <c r="M128" s="231"/>
      <c r="N128" s="231"/>
      <c r="O128" s="231"/>
      <c r="P128" s="231"/>
      <c r="Q128" s="231"/>
      <c r="R128" s="231"/>
      <c r="S128" s="231"/>
      <c r="T128" s="231"/>
      <c r="U128" s="231"/>
      <c r="V128" s="231"/>
      <c r="W128" s="231"/>
      <c r="X128" s="231"/>
    </row>
    <row r="129" spans="1:24" x14ac:dyDescent="0.3">
      <c r="A129" s="234"/>
      <c r="B129" s="234"/>
      <c r="C129" s="231"/>
      <c r="D129" s="231"/>
      <c r="E129" s="231"/>
      <c r="F129" s="231"/>
      <c r="G129" s="231"/>
      <c r="H129" s="231"/>
      <c r="I129" s="231"/>
      <c r="J129" s="231"/>
      <c r="K129" s="231"/>
      <c r="L129" s="231"/>
      <c r="M129" s="231"/>
      <c r="N129" s="231"/>
      <c r="O129" s="231"/>
      <c r="P129" s="231"/>
      <c r="Q129" s="231"/>
      <c r="R129" s="231"/>
      <c r="S129" s="231"/>
      <c r="T129" s="231"/>
      <c r="U129" s="231"/>
      <c r="V129" s="231"/>
      <c r="W129" s="231"/>
      <c r="X129" s="231"/>
    </row>
    <row r="130" spans="1:24" x14ac:dyDescent="0.3">
      <c r="A130" s="234"/>
      <c r="B130" s="234"/>
      <c r="C130" s="231"/>
      <c r="D130" s="231"/>
      <c r="E130" s="231"/>
      <c r="F130" s="231"/>
      <c r="G130" s="231"/>
      <c r="H130" s="231"/>
      <c r="I130" s="231"/>
      <c r="J130" s="231"/>
      <c r="K130" s="231"/>
      <c r="L130" s="231"/>
      <c r="M130" s="231"/>
      <c r="N130" s="231"/>
      <c r="O130" s="231"/>
      <c r="P130" s="231"/>
      <c r="Q130" s="231"/>
      <c r="R130" s="231"/>
      <c r="S130" s="231"/>
      <c r="T130" s="231"/>
      <c r="U130" s="231"/>
      <c r="V130" s="231"/>
      <c r="W130" s="231"/>
      <c r="X130" s="231"/>
    </row>
    <row r="131" spans="1:24" x14ac:dyDescent="0.3">
      <c r="A131" s="234"/>
      <c r="B131" s="234"/>
      <c r="C131" s="231"/>
      <c r="D131" s="231"/>
      <c r="E131" s="231"/>
      <c r="F131" s="231"/>
      <c r="G131" s="231"/>
      <c r="H131" s="231"/>
      <c r="I131" s="231"/>
      <c r="J131" s="231"/>
      <c r="K131" s="231"/>
      <c r="L131" s="231"/>
      <c r="M131" s="231"/>
      <c r="N131" s="231"/>
      <c r="O131" s="231"/>
      <c r="P131" s="231"/>
      <c r="Q131" s="231"/>
      <c r="R131" s="231"/>
      <c r="S131" s="231"/>
      <c r="T131" s="231"/>
      <c r="U131" s="231"/>
      <c r="V131" s="231"/>
      <c r="W131" s="231"/>
      <c r="X131" s="231"/>
    </row>
    <row r="132" spans="1:24" x14ac:dyDescent="0.3">
      <c r="A132" s="234"/>
      <c r="B132" s="234"/>
      <c r="C132" s="231"/>
      <c r="D132" s="231"/>
      <c r="E132" s="231"/>
      <c r="F132" s="231"/>
      <c r="G132" s="231"/>
      <c r="H132" s="231"/>
      <c r="I132" s="231"/>
      <c r="J132" s="231"/>
      <c r="K132" s="231"/>
      <c r="L132" s="231"/>
      <c r="M132" s="231"/>
      <c r="N132" s="231"/>
      <c r="O132" s="231"/>
      <c r="P132" s="231"/>
      <c r="Q132" s="231"/>
      <c r="R132" s="231"/>
      <c r="S132" s="231"/>
      <c r="T132" s="231"/>
      <c r="U132" s="231"/>
      <c r="V132" s="231"/>
      <c r="W132" s="231"/>
      <c r="X132" s="231"/>
    </row>
    <row r="133" spans="1:24" x14ac:dyDescent="0.3">
      <c r="A133" s="234"/>
      <c r="B133" s="234"/>
      <c r="C133" s="231"/>
      <c r="D133" s="231"/>
      <c r="E133" s="231"/>
      <c r="F133" s="231"/>
      <c r="G133" s="231"/>
      <c r="H133" s="231"/>
      <c r="I133" s="231"/>
      <c r="J133" s="231"/>
      <c r="K133" s="231"/>
      <c r="L133" s="231"/>
      <c r="M133" s="231"/>
      <c r="N133" s="231"/>
      <c r="O133" s="231"/>
      <c r="P133" s="231"/>
      <c r="Q133" s="231"/>
      <c r="R133" s="231"/>
      <c r="S133" s="231"/>
      <c r="T133" s="231"/>
      <c r="U133" s="231"/>
      <c r="V133" s="231"/>
      <c r="W133" s="231"/>
      <c r="X133" s="231"/>
    </row>
    <row r="134" spans="1:24" x14ac:dyDescent="0.3">
      <c r="A134" s="234"/>
      <c r="B134" s="234"/>
      <c r="C134" s="231"/>
      <c r="D134" s="231"/>
      <c r="E134" s="231"/>
      <c r="F134" s="231"/>
      <c r="G134" s="231"/>
      <c r="H134" s="231"/>
      <c r="I134" s="231"/>
      <c r="J134" s="231"/>
      <c r="K134" s="231"/>
      <c r="L134" s="231"/>
      <c r="M134" s="231"/>
      <c r="N134" s="231"/>
      <c r="O134" s="231"/>
      <c r="P134" s="231"/>
      <c r="Q134" s="231"/>
      <c r="R134" s="231"/>
      <c r="S134" s="231"/>
      <c r="T134" s="231"/>
      <c r="U134" s="231"/>
      <c r="V134" s="231"/>
      <c r="W134" s="231"/>
      <c r="X134" s="231"/>
    </row>
  </sheetData>
  <hyperlinks>
    <hyperlink ref="B41" location="Lexique!B101" display="Consulter le lexique avant d'ajouter une nouvelle VMC"/>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9"/>
  <sheetViews>
    <sheetView topLeftCell="A89" zoomScale="115" zoomScaleNormal="115" workbookViewId="0">
      <selection activeCell="B89" sqref="B89:B94"/>
    </sheetView>
  </sheetViews>
  <sheetFormatPr baseColWidth="10" defaultColWidth="10.5" defaultRowHeight="15" x14ac:dyDescent="0.25"/>
  <cols>
    <col min="1" max="1" width="1.875" style="158" customWidth="1"/>
    <col min="2" max="2" width="12.125" style="158" customWidth="1"/>
    <col min="3" max="3" width="9.5" style="158" customWidth="1"/>
    <col min="4" max="4" width="12.25" style="237" customWidth="1"/>
    <col min="5" max="5" width="24.5" style="237" customWidth="1"/>
    <col min="6" max="6" width="7.875" style="238" customWidth="1"/>
    <col min="7" max="7" width="7.625" style="238" customWidth="1"/>
    <col min="8" max="8" width="5.5" style="238" customWidth="1"/>
    <col min="9" max="9" width="4.125" style="238" customWidth="1"/>
    <col min="10" max="10" width="11" style="238" customWidth="1"/>
    <col min="11" max="11" width="9.5" style="238" customWidth="1"/>
    <col min="12" max="12" width="10" style="159" customWidth="1"/>
    <col min="13" max="16384" width="10.5" style="158"/>
  </cols>
  <sheetData>
    <row r="1" spans="1:11" ht="15.75" x14ac:dyDescent="0.25">
      <c r="A1" s="157" t="s">
        <v>335</v>
      </c>
    </row>
    <row r="2" spans="1:11" ht="5.25" customHeight="1" x14ac:dyDescent="0.25">
      <c r="A2" s="157"/>
      <c r="B2" s="157"/>
    </row>
    <row r="3" spans="1:11" x14ac:dyDescent="0.25">
      <c r="A3" s="160"/>
      <c r="B3" s="161" t="s">
        <v>336</v>
      </c>
      <c r="C3" s="160"/>
      <c r="D3" s="239"/>
      <c r="E3" s="239"/>
      <c r="F3" s="240"/>
      <c r="G3" s="240"/>
      <c r="H3" s="240"/>
      <c r="I3" s="240"/>
      <c r="J3" s="240"/>
      <c r="K3" s="240"/>
    </row>
    <row r="4" spans="1:11" ht="6" customHeight="1" thickBot="1" x14ac:dyDescent="0.3">
      <c r="A4" s="163"/>
      <c r="B4" s="164"/>
      <c r="C4" s="163"/>
      <c r="D4" s="241"/>
      <c r="E4" s="241"/>
      <c r="F4" s="242"/>
      <c r="G4" s="242"/>
      <c r="H4" s="242"/>
      <c r="I4" s="242"/>
      <c r="J4" s="242"/>
      <c r="K4" s="242"/>
    </row>
    <row r="5" spans="1:11" ht="6" customHeight="1" x14ac:dyDescent="0.25">
      <c r="A5" s="165"/>
      <c r="B5" s="166"/>
      <c r="C5" s="166"/>
      <c r="D5" s="243"/>
      <c r="E5" s="243"/>
      <c r="F5" s="244"/>
      <c r="G5" s="244"/>
      <c r="H5" s="244"/>
      <c r="I5" s="244"/>
      <c r="J5" s="244"/>
      <c r="K5" s="245"/>
    </row>
    <row r="6" spans="1:11" x14ac:dyDescent="0.25">
      <c r="A6" s="167"/>
      <c r="B6" s="160"/>
      <c r="C6" s="160"/>
      <c r="D6" s="239"/>
      <c r="E6" s="239"/>
      <c r="F6" s="240"/>
      <c r="G6" s="240"/>
      <c r="H6" s="240"/>
      <c r="I6" s="240"/>
      <c r="J6" s="240"/>
      <c r="K6" s="246"/>
    </row>
    <row r="7" spans="1:11" x14ac:dyDescent="0.25">
      <c r="A7" s="167"/>
      <c r="B7" s="160"/>
      <c r="C7" s="160"/>
      <c r="D7" s="239"/>
      <c r="E7" s="239"/>
      <c r="F7" s="240"/>
      <c r="G7" s="240"/>
      <c r="H7" s="240"/>
      <c r="I7" s="240"/>
      <c r="J7" s="240"/>
      <c r="K7" s="246"/>
    </row>
    <row r="8" spans="1:11" x14ac:dyDescent="0.25">
      <c r="A8" s="167"/>
      <c r="B8" s="169" t="s">
        <v>337</v>
      </c>
      <c r="C8" s="160"/>
      <c r="D8" s="239" t="s">
        <v>338</v>
      </c>
      <c r="E8" s="239"/>
      <c r="F8" s="240"/>
      <c r="G8" s="240"/>
      <c r="H8" s="240"/>
      <c r="I8" s="240"/>
      <c r="J8" s="240"/>
      <c r="K8" s="246"/>
    </row>
    <row r="9" spans="1:11" x14ac:dyDescent="0.25">
      <c r="A9" s="167"/>
      <c r="B9" s="160"/>
      <c r="C9" s="160"/>
      <c r="D9" s="239" t="s">
        <v>339</v>
      </c>
      <c r="E9" s="239"/>
      <c r="F9" s="240"/>
      <c r="G9" s="240"/>
      <c r="H9" s="240"/>
      <c r="I9" s="240"/>
      <c r="J9" s="240"/>
      <c r="K9" s="246"/>
    </row>
    <row r="10" spans="1:11" x14ac:dyDescent="0.25">
      <c r="A10" s="167"/>
      <c r="B10" s="160"/>
      <c r="C10" s="160"/>
      <c r="D10" s="239" t="s">
        <v>340</v>
      </c>
      <c r="E10" s="239"/>
      <c r="F10" s="240"/>
      <c r="G10" s="240"/>
      <c r="H10" s="240"/>
      <c r="I10" s="240"/>
      <c r="J10" s="240"/>
      <c r="K10" s="246"/>
    </row>
    <row r="11" spans="1:11" x14ac:dyDescent="0.25">
      <c r="A11" s="167"/>
      <c r="B11" s="160"/>
      <c r="C11" s="160"/>
      <c r="D11" s="239"/>
      <c r="E11" s="239"/>
      <c r="F11" s="240"/>
      <c r="G11" s="240"/>
      <c r="H11" s="240"/>
      <c r="I11" s="240"/>
      <c r="J11" s="240"/>
      <c r="K11" s="246"/>
    </row>
    <row r="12" spans="1:11" x14ac:dyDescent="0.25">
      <c r="A12" s="167"/>
      <c r="B12" s="160"/>
      <c r="C12" s="160"/>
      <c r="D12" s="239" t="s">
        <v>341</v>
      </c>
      <c r="E12" s="239"/>
      <c r="F12" s="240"/>
      <c r="G12" s="240"/>
      <c r="H12" s="240"/>
      <c r="I12" s="240"/>
      <c r="J12" s="240"/>
      <c r="K12" s="246"/>
    </row>
    <row r="13" spans="1:11" x14ac:dyDescent="0.25">
      <c r="A13" s="167"/>
      <c r="B13" s="160"/>
      <c r="C13" s="160"/>
      <c r="D13" s="239" t="s">
        <v>342</v>
      </c>
      <c r="E13" s="239"/>
      <c r="F13" s="240"/>
      <c r="G13" s="240"/>
      <c r="H13" s="240"/>
      <c r="I13" s="240"/>
      <c r="J13" s="240"/>
      <c r="K13" s="246"/>
    </row>
    <row r="14" spans="1:11" x14ac:dyDescent="0.25">
      <c r="A14" s="167"/>
      <c r="B14" s="160"/>
      <c r="C14" s="160"/>
      <c r="D14" s="239"/>
      <c r="E14" s="239"/>
      <c r="F14" s="240"/>
      <c r="G14" s="240"/>
      <c r="H14" s="240"/>
      <c r="I14" s="240"/>
      <c r="J14" s="240"/>
      <c r="K14" s="246"/>
    </row>
    <row r="15" spans="1:11" x14ac:dyDescent="0.25">
      <c r="A15" s="167"/>
      <c r="B15" s="168" t="s">
        <v>343</v>
      </c>
      <c r="C15" s="160"/>
      <c r="D15" s="239"/>
      <c r="E15" s="239"/>
      <c r="F15" s="240"/>
      <c r="G15" s="240"/>
      <c r="H15" s="240"/>
      <c r="I15" s="240"/>
      <c r="J15" s="240"/>
      <c r="K15" s="246"/>
    </row>
    <row r="16" spans="1:11" x14ac:dyDescent="0.25">
      <c r="A16" s="167"/>
      <c r="B16" s="169" t="s">
        <v>344</v>
      </c>
      <c r="C16" s="160"/>
      <c r="D16" s="239"/>
      <c r="E16" s="239"/>
      <c r="F16" s="240"/>
      <c r="G16" s="240"/>
      <c r="H16" s="240"/>
      <c r="I16" s="240"/>
      <c r="J16" s="240"/>
      <c r="K16" s="246"/>
    </row>
    <row r="17" spans="1:11" ht="14.25" x14ac:dyDescent="0.2">
      <c r="A17" s="167"/>
      <c r="B17" s="169" t="s">
        <v>345</v>
      </c>
      <c r="C17" s="160"/>
      <c r="D17" s="272" t="s">
        <v>346</v>
      </c>
      <c r="E17" s="272"/>
      <c r="F17" s="273"/>
      <c r="G17" s="273"/>
      <c r="H17" s="273"/>
      <c r="I17" s="273"/>
      <c r="J17" s="273"/>
      <c r="K17" s="274"/>
    </row>
    <row r="18" spans="1:11" ht="14.25" x14ac:dyDescent="0.2">
      <c r="A18" s="167"/>
      <c r="B18" s="169" t="s">
        <v>347</v>
      </c>
      <c r="C18" s="160"/>
      <c r="D18" s="272" t="s">
        <v>356</v>
      </c>
      <c r="E18" s="272"/>
      <c r="F18" s="273"/>
      <c r="G18" s="273"/>
      <c r="H18" s="273"/>
      <c r="I18" s="273"/>
      <c r="J18" s="273"/>
      <c r="K18" s="274"/>
    </row>
    <row r="19" spans="1:11" ht="14.25" customHeight="1" x14ac:dyDescent="0.2">
      <c r="A19" s="167"/>
      <c r="B19" s="169" t="s">
        <v>357</v>
      </c>
      <c r="C19" s="160"/>
      <c r="D19" s="272" t="s">
        <v>358</v>
      </c>
      <c r="E19" s="277"/>
      <c r="F19" s="277"/>
      <c r="G19" s="277"/>
      <c r="H19" s="277"/>
      <c r="I19" s="277"/>
      <c r="J19" s="277"/>
      <c r="K19" s="278"/>
    </row>
    <row r="20" spans="1:11" ht="14.25" x14ac:dyDescent="0.2">
      <c r="A20" s="167"/>
      <c r="B20" s="169"/>
      <c r="C20" s="160"/>
      <c r="D20" s="277"/>
      <c r="E20" s="277"/>
      <c r="F20" s="277"/>
      <c r="G20" s="277"/>
      <c r="H20" s="277"/>
      <c r="I20" s="277"/>
      <c r="J20" s="277"/>
      <c r="K20" s="278"/>
    </row>
    <row r="21" spans="1:11" ht="13.9" customHeight="1" x14ac:dyDescent="0.25">
      <c r="A21" s="167"/>
      <c r="B21" s="169" t="s">
        <v>0</v>
      </c>
      <c r="C21" s="160"/>
      <c r="D21" s="249" t="s">
        <v>359</v>
      </c>
      <c r="E21" s="249"/>
      <c r="F21" s="249"/>
      <c r="G21" s="249"/>
      <c r="H21" s="249"/>
      <c r="I21" s="249"/>
      <c r="J21" s="249"/>
      <c r="K21" s="250"/>
    </row>
    <row r="22" spans="1:11" x14ac:dyDescent="0.25">
      <c r="A22" s="167"/>
      <c r="B22" s="169"/>
      <c r="C22" s="160"/>
      <c r="D22" s="249"/>
      <c r="E22" s="249"/>
      <c r="F22" s="249"/>
      <c r="G22" s="249"/>
      <c r="H22" s="249"/>
      <c r="I22" s="249"/>
      <c r="J22" s="249"/>
      <c r="K22" s="250"/>
    </row>
    <row r="23" spans="1:11" x14ac:dyDescent="0.25">
      <c r="A23" s="167"/>
      <c r="B23" s="169" t="s">
        <v>360</v>
      </c>
      <c r="C23" s="160"/>
      <c r="D23" s="249" t="s">
        <v>361</v>
      </c>
      <c r="E23" s="249"/>
      <c r="F23" s="249"/>
      <c r="G23" s="249"/>
      <c r="H23" s="249"/>
      <c r="I23" s="249"/>
      <c r="J23" s="249"/>
      <c r="K23" s="250"/>
    </row>
    <row r="24" spans="1:11" x14ac:dyDescent="0.25">
      <c r="A24" s="167"/>
      <c r="B24" s="169"/>
      <c r="C24" s="160"/>
      <c r="D24" s="251" t="s">
        <v>362</v>
      </c>
      <c r="E24" s="249"/>
      <c r="F24" s="249"/>
      <c r="G24" s="249"/>
      <c r="H24" s="249"/>
      <c r="I24" s="249"/>
      <c r="J24" s="249"/>
      <c r="K24" s="250"/>
    </row>
    <row r="25" spans="1:11" x14ac:dyDescent="0.25">
      <c r="A25" s="167"/>
      <c r="B25" s="169"/>
      <c r="C25" s="160"/>
      <c r="D25" s="251" t="s">
        <v>363</v>
      </c>
      <c r="E25" s="239"/>
      <c r="F25" s="240"/>
      <c r="G25" s="240"/>
      <c r="H25" s="240"/>
      <c r="I25" s="240"/>
      <c r="J25" s="240"/>
      <c r="K25" s="246"/>
    </row>
    <row r="26" spans="1:11" ht="14.25" x14ac:dyDescent="0.2">
      <c r="A26" s="167"/>
      <c r="B26" s="169" t="s">
        <v>364</v>
      </c>
      <c r="C26" s="160"/>
      <c r="D26" s="463" t="s">
        <v>365</v>
      </c>
      <c r="E26" s="463"/>
      <c r="F26" s="463"/>
      <c r="G26" s="463"/>
      <c r="H26" s="463"/>
      <c r="I26" s="463"/>
      <c r="J26" s="463"/>
      <c r="K26" s="464"/>
    </row>
    <row r="27" spans="1:11" ht="14.25" x14ac:dyDescent="0.2">
      <c r="A27" s="167"/>
      <c r="B27" s="169"/>
      <c r="C27" s="160"/>
      <c r="D27" s="463"/>
      <c r="E27" s="463"/>
      <c r="F27" s="463"/>
      <c r="G27" s="463"/>
      <c r="H27" s="463"/>
      <c r="I27" s="463"/>
      <c r="J27" s="463"/>
      <c r="K27" s="464"/>
    </row>
    <row r="28" spans="1:11" ht="14.25" customHeight="1" x14ac:dyDescent="0.2">
      <c r="A28" s="167"/>
      <c r="B28" s="169" t="s">
        <v>366</v>
      </c>
      <c r="C28" s="160"/>
      <c r="D28" s="465" t="s">
        <v>367</v>
      </c>
      <c r="E28" s="465"/>
      <c r="F28" s="465"/>
      <c r="G28" s="465"/>
      <c r="H28" s="465"/>
      <c r="I28" s="465"/>
      <c r="J28" s="465"/>
      <c r="K28" s="466"/>
    </row>
    <row r="29" spans="1:11" ht="14.25" x14ac:dyDescent="0.2">
      <c r="A29" s="167"/>
      <c r="B29" s="169"/>
      <c r="C29" s="160"/>
      <c r="D29" s="465"/>
      <c r="E29" s="465"/>
      <c r="F29" s="465"/>
      <c r="G29" s="465"/>
      <c r="H29" s="465"/>
      <c r="I29" s="465"/>
      <c r="J29" s="465"/>
      <c r="K29" s="466"/>
    </row>
    <row r="30" spans="1:11" ht="14.25" x14ac:dyDescent="0.2">
      <c r="A30" s="167"/>
      <c r="B30" s="169"/>
      <c r="C30" s="160"/>
      <c r="D30" s="465"/>
      <c r="E30" s="465"/>
      <c r="F30" s="465"/>
      <c r="G30" s="465"/>
      <c r="H30" s="465"/>
      <c r="I30" s="465"/>
      <c r="J30" s="465"/>
      <c r="K30" s="466"/>
    </row>
    <row r="31" spans="1:11" ht="14.25" x14ac:dyDescent="0.2">
      <c r="A31" s="167"/>
      <c r="B31" s="169"/>
      <c r="C31" s="160"/>
      <c r="D31" s="465"/>
      <c r="E31" s="465"/>
      <c r="F31" s="465"/>
      <c r="G31" s="465"/>
      <c r="H31" s="465"/>
      <c r="I31" s="465"/>
      <c r="J31" s="465"/>
      <c r="K31" s="466"/>
    </row>
    <row r="32" spans="1:11" ht="14.25" x14ac:dyDescent="0.2">
      <c r="A32" s="167"/>
      <c r="B32" s="169"/>
      <c r="C32" s="160"/>
      <c r="D32" s="465"/>
      <c r="E32" s="465"/>
      <c r="F32" s="465"/>
      <c r="G32" s="465"/>
      <c r="H32" s="465"/>
      <c r="I32" s="465"/>
      <c r="J32" s="465"/>
      <c r="K32" s="466"/>
    </row>
    <row r="33" spans="1:11" ht="14.25" x14ac:dyDescent="0.2">
      <c r="A33" s="167"/>
      <c r="B33" s="169"/>
      <c r="C33" s="160"/>
      <c r="D33" s="465"/>
      <c r="E33" s="465"/>
      <c r="F33" s="465"/>
      <c r="G33" s="465"/>
      <c r="H33" s="465"/>
      <c r="I33" s="465"/>
      <c r="J33" s="465"/>
      <c r="K33" s="466"/>
    </row>
    <row r="34" spans="1:11" x14ac:dyDescent="0.25">
      <c r="A34" s="167"/>
      <c r="B34" s="169" t="s">
        <v>368</v>
      </c>
      <c r="C34" s="160"/>
      <c r="D34" s="252" t="s">
        <v>369</v>
      </c>
      <c r="E34" s="247"/>
      <c r="F34" s="247"/>
      <c r="G34" s="247"/>
      <c r="H34" s="247"/>
      <c r="I34" s="247"/>
      <c r="J34" s="247"/>
      <c r="K34" s="248"/>
    </row>
    <row r="35" spans="1:11" x14ac:dyDescent="0.25">
      <c r="A35" s="167"/>
      <c r="B35" s="169"/>
      <c r="C35" s="160"/>
      <c r="D35" s="252" t="s">
        <v>370</v>
      </c>
      <c r="E35" s="247"/>
      <c r="F35" s="247"/>
      <c r="G35" s="247"/>
      <c r="H35" s="247"/>
      <c r="I35" s="247"/>
      <c r="J35" s="247"/>
      <c r="K35" s="248"/>
    </row>
    <row r="36" spans="1:11" x14ac:dyDescent="0.25">
      <c r="A36" s="167"/>
      <c r="B36" s="169"/>
      <c r="C36" s="160"/>
      <c r="D36" s="252" t="s">
        <v>371</v>
      </c>
      <c r="E36" s="247"/>
      <c r="F36" s="247"/>
      <c r="G36" s="247"/>
      <c r="H36" s="247"/>
      <c r="I36" s="247"/>
      <c r="J36" s="247"/>
      <c r="K36" s="248"/>
    </row>
    <row r="37" spans="1:11" x14ac:dyDescent="0.25">
      <c r="A37" s="167"/>
      <c r="B37" s="169"/>
      <c r="C37" s="160"/>
      <c r="D37" s="252" t="s">
        <v>372</v>
      </c>
      <c r="E37" s="247"/>
      <c r="F37" s="247"/>
      <c r="G37" s="247"/>
      <c r="H37" s="247"/>
      <c r="I37" s="247"/>
      <c r="J37" s="247"/>
      <c r="K37" s="248"/>
    </row>
    <row r="38" spans="1:11" ht="15.75" thickBot="1" x14ac:dyDescent="0.3">
      <c r="A38" s="167"/>
      <c r="B38" s="169"/>
      <c r="C38" s="160"/>
      <c r="D38" s="252"/>
      <c r="E38" s="247"/>
      <c r="F38" s="247"/>
      <c r="G38" s="247"/>
      <c r="H38" s="247"/>
      <c r="I38" s="247"/>
      <c r="J38" s="247"/>
      <c r="K38" s="248"/>
    </row>
    <row r="39" spans="1:11" ht="15.75" thickBot="1" x14ac:dyDescent="0.3">
      <c r="A39" s="167"/>
      <c r="B39" s="169" t="s">
        <v>373</v>
      </c>
      <c r="C39" s="160"/>
      <c r="E39" s="253"/>
      <c r="F39" s="253" t="s">
        <v>374</v>
      </c>
      <c r="G39" s="253" t="s">
        <v>375</v>
      </c>
      <c r="H39" s="237"/>
      <c r="I39" s="237"/>
      <c r="J39" s="237"/>
      <c r="K39" s="248"/>
    </row>
    <row r="40" spans="1:11" x14ac:dyDescent="0.25">
      <c r="A40" s="167"/>
      <c r="B40" s="169"/>
      <c r="C40" s="160"/>
      <c r="E40" s="254" t="s">
        <v>376</v>
      </c>
      <c r="F40" s="255">
        <v>2200</v>
      </c>
      <c r="G40" s="255" t="s">
        <v>377</v>
      </c>
      <c r="H40" s="237"/>
      <c r="I40" s="237"/>
      <c r="J40" s="237"/>
      <c r="K40" s="248"/>
    </row>
    <row r="41" spans="1:11" x14ac:dyDescent="0.25">
      <c r="A41" s="167"/>
      <c r="B41" s="169"/>
      <c r="C41" s="160"/>
      <c r="E41" s="254" t="s">
        <v>378</v>
      </c>
      <c r="F41" s="255">
        <v>2760</v>
      </c>
      <c r="G41" s="255" t="s">
        <v>377</v>
      </c>
      <c r="H41" s="237"/>
      <c r="I41" s="237"/>
      <c r="J41" s="237"/>
      <c r="K41" s="248"/>
    </row>
    <row r="42" spans="1:11" x14ac:dyDescent="0.25">
      <c r="A42" s="167"/>
      <c r="B42" s="169"/>
      <c r="C42" s="160"/>
      <c r="E42" s="254" t="s">
        <v>379</v>
      </c>
      <c r="F42" s="255">
        <v>4600</v>
      </c>
      <c r="G42" s="255" t="s">
        <v>377</v>
      </c>
      <c r="H42" s="237"/>
      <c r="I42" s="237"/>
      <c r="J42" s="237"/>
      <c r="K42" s="248"/>
    </row>
    <row r="43" spans="1:11" x14ac:dyDescent="0.25">
      <c r="A43" s="167"/>
      <c r="B43" s="169"/>
      <c r="C43" s="160"/>
      <c r="E43" s="254" t="s">
        <v>380</v>
      </c>
      <c r="F43" s="255">
        <v>5000</v>
      </c>
      <c r="G43" s="255" t="s">
        <v>377</v>
      </c>
      <c r="H43" s="237"/>
      <c r="I43" s="237"/>
      <c r="J43" s="237"/>
      <c r="K43" s="248"/>
    </row>
    <row r="44" spans="1:11" x14ac:dyDescent="0.25">
      <c r="A44" s="167"/>
      <c r="B44" s="169"/>
      <c r="C44" s="160"/>
      <c r="E44" s="254" t="s">
        <v>381</v>
      </c>
      <c r="F44" s="255">
        <v>1680</v>
      </c>
      <c r="G44" s="255" t="s">
        <v>382</v>
      </c>
      <c r="H44" s="237"/>
      <c r="I44" s="237"/>
      <c r="J44" s="237"/>
      <c r="K44" s="248"/>
    </row>
    <row r="45" spans="1:11" x14ac:dyDescent="0.25">
      <c r="A45" s="167"/>
      <c r="B45" s="169"/>
      <c r="C45" s="160"/>
      <c r="E45" s="254" t="s">
        <v>383</v>
      </c>
      <c r="F45" s="255">
        <v>13800</v>
      </c>
      <c r="G45" s="255" t="s">
        <v>377</v>
      </c>
      <c r="H45" s="237"/>
      <c r="I45" s="237"/>
      <c r="J45" s="237"/>
      <c r="K45" s="248"/>
    </row>
    <row r="46" spans="1:11" x14ac:dyDescent="0.25">
      <c r="A46" s="167"/>
      <c r="B46" s="169"/>
      <c r="C46" s="160"/>
      <c r="E46" s="254" t="s">
        <v>384</v>
      </c>
      <c r="F46" s="255">
        <v>12780</v>
      </c>
      <c r="G46" s="255" t="s">
        <v>377</v>
      </c>
      <c r="H46" s="237"/>
      <c r="I46" s="237"/>
      <c r="J46" s="237"/>
      <c r="K46" s="246"/>
    </row>
    <row r="47" spans="1:11" x14ac:dyDescent="0.25">
      <c r="A47" s="167"/>
      <c r="B47" s="169"/>
      <c r="C47" s="160"/>
      <c r="E47" s="254" t="s">
        <v>385</v>
      </c>
      <c r="F47" s="255">
        <v>9.9700000000000006</v>
      </c>
      <c r="G47" s="255" t="s">
        <v>386</v>
      </c>
      <c r="H47" s="237"/>
      <c r="I47" s="237"/>
      <c r="J47" s="237"/>
      <c r="K47" s="246"/>
    </row>
    <row r="48" spans="1:11" x14ac:dyDescent="0.25">
      <c r="A48" s="167"/>
      <c r="B48" s="169"/>
      <c r="C48" s="160"/>
      <c r="E48" s="254" t="s">
        <v>387</v>
      </c>
      <c r="F48" s="255">
        <v>7222</v>
      </c>
      <c r="G48" s="255" t="s">
        <v>377</v>
      </c>
      <c r="H48" s="237"/>
      <c r="I48" s="237"/>
      <c r="J48" s="237"/>
      <c r="K48" s="246"/>
    </row>
    <row r="49" spans="1:11" x14ac:dyDescent="0.25">
      <c r="A49" s="167"/>
      <c r="B49" s="168"/>
      <c r="C49" s="160"/>
      <c r="E49" s="254" t="s">
        <v>388</v>
      </c>
      <c r="F49" s="255">
        <f>83/6</f>
        <v>13.833333333333334</v>
      </c>
      <c r="G49" s="255" t="s">
        <v>389</v>
      </c>
      <c r="H49" s="237"/>
      <c r="I49" s="237"/>
      <c r="J49" s="237"/>
      <c r="K49" s="246"/>
    </row>
    <row r="50" spans="1:11" x14ac:dyDescent="0.25">
      <c r="A50" s="167"/>
      <c r="B50" s="169"/>
      <c r="C50" s="160"/>
      <c r="E50" s="254" t="s">
        <v>390</v>
      </c>
      <c r="F50" s="255">
        <v>8889</v>
      </c>
      <c r="G50" s="255" t="s">
        <v>377</v>
      </c>
      <c r="H50" s="237"/>
      <c r="I50" s="237"/>
      <c r="J50" s="237"/>
      <c r="K50" s="246"/>
    </row>
    <row r="51" spans="1:11" x14ac:dyDescent="0.25">
      <c r="A51" s="167"/>
      <c r="B51" s="169"/>
      <c r="C51" s="160"/>
      <c r="E51" s="254" t="s">
        <v>391</v>
      </c>
      <c r="F51" s="255">
        <v>4722</v>
      </c>
      <c r="G51" s="255" t="s">
        <v>377</v>
      </c>
      <c r="H51" s="237"/>
      <c r="I51" s="237"/>
      <c r="J51" s="237"/>
      <c r="K51" s="246"/>
    </row>
    <row r="52" spans="1:11" x14ac:dyDescent="0.25">
      <c r="A52" s="167"/>
      <c r="B52" s="169"/>
      <c r="C52" s="160"/>
      <c r="E52" s="254" t="s">
        <v>392</v>
      </c>
      <c r="F52" s="255">
        <v>7781</v>
      </c>
      <c r="G52" s="255" t="s">
        <v>377</v>
      </c>
      <c r="H52" s="237"/>
      <c r="I52" s="237"/>
      <c r="J52" s="237"/>
      <c r="K52" s="246"/>
    </row>
    <row r="53" spans="1:11" x14ac:dyDescent="0.25">
      <c r="A53" s="167"/>
      <c r="B53" s="169"/>
      <c r="C53" s="160"/>
      <c r="D53" s="239"/>
      <c r="E53" s="254"/>
      <c r="F53" s="255"/>
      <c r="G53" s="255"/>
      <c r="H53" s="240"/>
      <c r="I53" s="240"/>
      <c r="J53" s="240"/>
      <c r="K53" s="246"/>
    </row>
    <row r="54" spans="1:11" x14ac:dyDescent="0.25">
      <c r="A54" s="167"/>
      <c r="B54" s="169"/>
      <c r="C54" s="160"/>
      <c r="D54" s="239"/>
      <c r="E54" s="239"/>
      <c r="F54" s="240"/>
      <c r="G54" s="240"/>
      <c r="H54" s="240"/>
      <c r="I54" s="240"/>
      <c r="J54" s="240"/>
      <c r="K54" s="246"/>
    </row>
    <row r="55" spans="1:11" ht="14.25" x14ac:dyDescent="0.2">
      <c r="A55" s="167"/>
      <c r="B55" s="169" t="s">
        <v>393</v>
      </c>
      <c r="C55" s="160"/>
      <c r="D55" s="463" t="s">
        <v>394</v>
      </c>
      <c r="E55" s="463"/>
      <c r="F55" s="463"/>
      <c r="G55" s="463"/>
      <c r="H55" s="463"/>
      <c r="I55" s="463"/>
      <c r="J55" s="463"/>
      <c r="K55" s="464"/>
    </row>
    <row r="56" spans="1:11" ht="14.25" x14ac:dyDescent="0.2">
      <c r="A56" s="167"/>
      <c r="B56" s="169"/>
      <c r="C56" s="160"/>
      <c r="D56" s="463"/>
      <c r="E56" s="463"/>
      <c r="F56" s="463"/>
      <c r="G56" s="463"/>
      <c r="H56" s="463"/>
      <c r="I56" s="463"/>
      <c r="J56" s="463"/>
      <c r="K56" s="464"/>
    </row>
    <row r="57" spans="1:11" thickBot="1" x14ac:dyDescent="0.25">
      <c r="A57" s="167"/>
      <c r="B57" s="169"/>
      <c r="C57" s="160"/>
      <c r="D57" s="275"/>
      <c r="E57" s="275"/>
      <c r="F57" s="275"/>
      <c r="G57" s="275"/>
      <c r="H57" s="275"/>
      <c r="I57" s="275"/>
      <c r="J57" s="275"/>
      <c r="K57" s="276"/>
    </row>
    <row r="58" spans="1:11" thickBot="1" x14ac:dyDescent="0.25">
      <c r="A58" s="167"/>
      <c r="B58" s="169"/>
      <c r="C58" s="160"/>
      <c r="D58" s="275"/>
      <c r="E58" s="253"/>
      <c r="F58" s="279" t="s">
        <v>485</v>
      </c>
      <c r="G58" s="279"/>
      <c r="H58" s="275"/>
      <c r="I58" s="275"/>
      <c r="J58" s="275"/>
      <c r="K58" s="276"/>
    </row>
    <row r="59" spans="1:11" x14ac:dyDescent="0.25">
      <c r="A59" s="167"/>
      <c r="B59" s="169"/>
      <c r="C59" s="160"/>
      <c r="D59" s="275"/>
      <c r="E59" s="254" t="s">
        <v>484</v>
      </c>
      <c r="F59" s="255">
        <v>5</v>
      </c>
      <c r="G59" s="255" t="s">
        <v>70</v>
      </c>
      <c r="H59" s="275"/>
      <c r="I59" s="275"/>
      <c r="J59" s="275"/>
      <c r="K59" s="276"/>
    </row>
    <row r="60" spans="1:11" x14ac:dyDescent="0.25">
      <c r="A60" s="167"/>
      <c r="B60" s="169"/>
      <c r="C60" s="160"/>
      <c r="D60" s="275"/>
      <c r="E60" s="254" t="s">
        <v>486</v>
      </c>
      <c r="F60" s="255">
        <v>3</v>
      </c>
      <c r="G60" s="255" t="s">
        <v>70</v>
      </c>
      <c r="H60" s="275"/>
      <c r="I60" s="275"/>
      <c r="J60" s="275"/>
      <c r="K60" s="276"/>
    </row>
    <row r="61" spans="1:11" x14ac:dyDescent="0.25">
      <c r="A61" s="167"/>
      <c r="B61" s="169"/>
      <c r="C61" s="160"/>
      <c r="D61" s="275"/>
      <c r="E61" s="254" t="s">
        <v>487</v>
      </c>
      <c r="F61" s="255">
        <v>1.5</v>
      </c>
      <c r="G61" s="255" t="s">
        <v>70</v>
      </c>
      <c r="H61" s="275"/>
      <c r="I61" s="275"/>
      <c r="J61" s="275"/>
      <c r="K61" s="276"/>
    </row>
    <row r="62" spans="1:11" x14ac:dyDescent="0.25">
      <c r="A62" s="167"/>
      <c r="B62" s="169"/>
      <c r="C62" s="160"/>
      <c r="D62" s="275"/>
      <c r="E62" s="254" t="s">
        <v>297</v>
      </c>
      <c r="F62" s="255">
        <v>0.6</v>
      </c>
      <c r="G62" s="255" t="s">
        <v>70</v>
      </c>
      <c r="H62" s="275"/>
      <c r="I62" s="275"/>
      <c r="J62" s="275"/>
      <c r="K62" s="276"/>
    </row>
    <row r="63" spans="1:11" x14ac:dyDescent="0.25">
      <c r="A63" s="167"/>
      <c r="B63" s="169"/>
      <c r="C63" s="160"/>
      <c r="D63" s="275"/>
      <c r="E63" s="254" t="s">
        <v>300</v>
      </c>
      <c r="F63" s="255">
        <v>0.3</v>
      </c>
      <c r="G63" s="255" t="s">
        <v>70</v>
      </c>
      <c r="H63" s="275"/>
      <c r="I63" s="275"/>
      <c r="J63" s="275"/>
      <c r="K63" s="276"/>
    </row>
    <row r="64" spans="1:11" x14ac:dyDescent="0.25">
      <c r="A64" s="167"/>
      <c r="B64" s="169"/>
      <c r="C64" s="160"/>
      <c r="D64" s="275"/>
      <c r="E64" s="239"/>
      <c r="F64" s="240"/>
      <c r="G64" s="240"/>
      <c r="H64" s="275"/>
      <c r="I64" s="275"/>
      <c r="J64" s="275"/>
      <c r="K64" s="276"/>
    </row>
    <row r="65" spans="1:11" x14ac:dyDescent="0.25">
      <c r="A65" s="167"/>
      <c r="B65" s="169" t="s">
        <v>395</v>
      </c>
      <c r="C65" s="160"/>
      <c r="D65" s="252" t="s">
        <v>396</v>
      </c>
      <c r="E65" s="252"/>
      <c r="F65" s="252"/>
      <c r="G65" s="252"/>
      <c r="H65" s="252"/>
      <c r="I65" s="252"/>
      <c r="J65" s="252"/>
      <c r="K65" s="256"/>
    </row>
    <row r="66" spans="1:11" x14ac:dyDescent="0.25">
      <c r="A66" s="167"/>
      <c r="B66" s="169"/>
      <c r="C66" s="160"/>
      <c r="D66" s="247"/>
      <c r="E66" s="247"/>
      <c r="F66" s="247"/>
      <c r="G66" s="247"/>
      <c r="H66" s="247"/>
      <c r="I66" s="247"/>
      <c r="J66" s="247"/>
      <c r="K66" s="248"/>
    </row>
    <row r="67" spans="1:11" x14ac:dyDescent="0.25">
      <c r="A67" s="167"/>
      <c r="B67" s="169" t="s">
        <v>52</v>
      </c>
      <c r="C67" s="160"/>
      <c r="D67" s="257" t="s">
        <v>490</v>
      </c>
      <c r="E67" s="247"/>
      <c r="F67" s="247"/>
      <c r="G67" s="247"/>
      <c r="H67" s="247"/>
      <c r="I67" s="247"/>
      <c r="J67" s="247"/>
      <c r="K67" s="248"/>
    </row>
    <row r="68" spans="1:11" ht="14.25" x14ac:dyDescent="0.2">
      <c r="A68" s="167"/>
      <c r="B68" s="169"/>
      <c r="C68" s="160"/>
      <c r="D68" s="463" t="s">
        <v>491</v>
      </c>
      <c r="E68" s="463"/>
      <c r="F68" s="463"/>
      <c r="G68" s="463"/>
      <c r="H68" s="463"/>
      <c r="I68" s="463"/>
      <c r="J68" s="463"/>
      <c r="K68" s="464"/>
    </row>
    <row r="69" spans="1:11" ht="144.75" customHeight="1" x14ac:dyDescent="0.2">
      <c r="A69" s="167"/>
      <c r="B69" s="169"/>
      <c r="C69" s="160"/>
      <c r="D69" s="463"/>
      <c r="E69" s="463"/>
      <c r="F69" s="463"/>
      <c r="G69" s="463"/>
      <c r="H69" s="463"/>
      <c r="I69" s="463"/>
      <c r="J69" s="463"/>
      <c r="K69" s="464"/>
    </row>
    <row r="70" spans="1:11" ht="14.25" x14ac:dyDescent="0.2">
      <c r="A70" s="167"/>
      <c r="B70" s="169"/>
      <c r="C70" s="160"/>
      <c r="D70" s="467" t="s">
        <v>397</v>
      </c>
      <c r="E70" s="467"/>
      <c r="F70" s="467"/>
      <c r="G70" s="467"/>
      <c r="H70" s="467"/>
      <c r="I70" s="467"/>
      <c r="J70" s="467"/>
      <c r="K70" s="468"/>
    </row>
    <row r="71" spans="1:11" ht="14.25" x14ac:dyDescent="0.2">
      <c r="A71" s="167"/>
      <c r="B71" s="169"/>
      <c r="C71" s="160"/>
      <c r="D71" s="467"/>
      <c r="E71" s="467"/>
      <c r="F71" s="467"/>
      <c r="G71" s="467"/>
      <c r="H71" s="467"/>
      <c r="I71" s="467"/>
      <c r="J71" s="467"/>
      <c r="K71" s="468"/>
    </row>
    <row r="72" spans="1:11" x14ac:dyDescent="0.25">
      <c r="A72" s="167"/>
      <c r="B72" s="169"/>
      <c r="C72" s="160"/>
      <c r="D72" s="252" t="s">
        <v>398</v>
      </c>
      <c r="E72" s="247"/>
      <c r="F72" s="247"/>
      <c r="G72" s="247"/>
      <c r="H72" s="247"/>
      <c r="I72" s="247"/>
      <c r="J72" s="247"/>
      <c r="K72" s="248"/>
    </row>
    <row r="73" spans="1:11" x14ac:dyDescent="0.25">
      <c r="A73" s="167"/>
      <c r="B73" s="169"/>
      <c r="C73" s="160"/>
      <c r="D73" s="258" t="s">
        <v>401</v>
      </c>
      <c r="E73" s="247"/>
      <c r="F73" s="247"/>
      <c r="G73" s="247"/>
      <c r="H73" s="247"/>
      <c r="I73" s="247"/>
      <c r="J73" s="247"/>
      <c r="K73" s="248"/>
    </row>
    <row r="74" spans="1:11" x14ac:dyDescent="0.25">
      <c r="A74" s="167"/>
      <c r="B74" s="169"/>
      <c r="C74" s="160"/>
      <c r="D74" s="252"/>
      <c r="E74" s="247"/>
      <c r="F74" s="247"/>
      <c r="G74" s="247"/>
      <c r="H74" s="247"/>
      <c r="I74" s="247"/>
      <c r="J74" s="247"/>
      <c r="K74" s="248"/>
    </row>
    <row r="75" spans="1:11" x14ac:dyDescent="0.25">
      <c r="A75" s="167"/>
      <c r="B75" s="169"/>
      <c r="C75" s="160"/>
      <c r="D75" s="252"/>
      <c r="E75" s="247"/>
      <c r="F75" s="247"/>
      <c r="G75" s="247"/>
      <c r="H75" s="247"/>
      <c r="I75" s="247"/>
      <c r="J75" s="247"/>
      <c r="K75" s="248"/>
    </row>
    <row r="76" spans="1:11" ht="15.75" thickBot="1" x14ac:dyDescent="0.3">
      <c r="A76" s="167"/>
      <c r="B76" s="169"/>
      <c r="C76" s="160"/>
      <c r="D76" s="252"/>
      <c r="E76" s="247"/>
      <c r="F76" s="247"/>
      <c r="G76" s="247"/>
      <c r="H76" s="247"/>
      <c r="I76" s="247"/>
      <c r="J76" s="247"/>
      <c r="K76" s="248"/>
    </row>
    <row r="77" spans="1:11" ht="15.75" thickBot="1" x14ac:dyDescent="0.3">
      <c r="A77" s="167"/>
      <c r="B77" s="169"/>
      <c r="C77" s="160"/>
      <c r="D77" s="252"/>
      <c r="E77" s="253"/>
      <c r="F77" s="279"/>
      <c r="G77" s="279"/>
      <c r="H77" s="247"/>
      <c r="I77" s="247"/>
      <c r="J77" s="247"/>
      <c r="K77" s="248"/>
    </row>
    <row r="78" spans="1:11" x14ac:dyDescent="0.25">
      <c r="A78" s="167"/>
      <c r="B78" s="169"/>
      <c r="C78" s="160"/>
      <c r="D78" s="252"/>
      <c r="E78" s="247"/>
      <c r="F78" s="247"/>
      <c r="G78" s="247"/>
      <c r="H78" s="247"/>
      <c r="I78" s="247"/>
      <c r="J78" s="247"/>
      <c r="K78" s="248"/>
    </row>
    <row r="79" spans="1:11" x14ac:dyDescent="0.25">
      <c r="A79" s="167"/>
      <c r="B79" s="169"/>
      <c r="C79" s="160"/>
      <c r="D79" s="252"/>
      <c r="E79" s="247"/>
      <c r="F79" s="247"/>
      <c r="G79" s="247"/>
      <c r="H79" s="247"/>
      <c r="I79" s="247"/>
      <c r="J79" s="247"/>
      <c r="K79" s="248"/>
    </row>
    <row r="80" spans="1:11" x14ac:dyDescent="0.25">
      <c r="A80" s="167"/>
      <c r="B80" s="169"/>
      <c r="C80" s="160"/>
      <c r="D80" s="247"/>
      <c r="E80" s="247"/>
      <c r="F80" s="247"/>
      <c r="G80" s="247"/>
      <c r="H80" s="247"/>
      <c r="I80" s="247"/>
      <c r="J80" s="247"/>
      <c r="K80" s="248"/>
    </row>
    <row r="81" spans="1:11" x14ac:dyDescent="0.25">
      <c r="A81" s="167"/>
      <c r="B81" s="169"/>
      <c r="C81" s="160"/>
      <c r="D81" s="247"/>
      <c r="E81" s="247"/>
      <c r="F81" s="247"/>
      <c r="G81" s="247"/>
      <c r="H81" s="247"/>
      <c r="I81" s="247"/>
      <c r="J81" s="247"/>
      <c r="K81" s="248"/>
    </row>
    <row r="82" spans="1:11" x14ac:dyDescent="0.25">
      <c r="A82" s="167"/>
      <c r="B82" s="169"/>
      <c r="C82" s="160"/>
      <c r="D82" s="247"/>
      <c r="E82" s="247"/>
      <c r="F82" s="247"/>
      <c r="G82" s="247"/>
      <c r="H82" s="247"/>
      <c r="I82" s="247"/>
      <c r="J82" s="247"/>
      <c r="K82" s="248"/>
    </row>
    <row r="83" spans="1:11" x14ac:dyDescent="0.25">
      <c r="A83" s="167"/>
      <c r="B83" s="169"/>
      <c r="C83" s="160"/>
      <c r="D83" s="247"/>
      <c r="E83" s="247"/>
      <c r="F83" s="247"/>
      <c r="G83" s="247"/>
      <c r="H83" s="247"/>
      <c r="I83" s="247"/>
      <c r="J83" s="247"/>
      <c r="K83" s="248"/>
    </row>
    <row r="84" spans="1:11" x14ac:dyDescent="0.25">
      <c r="A84" s="167"/>
      <c r="B84" s="169"/>
      <c r="C84" s="160"/>
      <c r="D84" s="247"/>
      <c r="E84" s="247"/>
      <c r="F84" s="247"/>
      <c r="G84" s="247"/>
      <c r="H84" s="247"/>
      <c r="I84" s="247"/>
      <c r="J84" s="247"/>
      <c r="K84" s="248"/>
    </row>
    <row r="85" spans="1:11" x14ac:dyDescent="0.25">
      <c r="A85" s="167"/>
      <c r="B85" s="169"/>
      <c r="C85" s="160"/>
      <c r="D85" s="247"/>
      <c r="E85" s="247"/>
      <c r="F85" s="247"/>
      <c r="G85" s="247"/>
      <c r="H85" s="247"/>
      <c r="I85" s="247"/>
      <c r="J85" s="247"/>
      <c r="K85" s="248"/>
    </row>
    <row r="86" spans="1:11" x14ac:dyDescent="0.25">
      <c r="A86" s="167"/>
      <c r="B86" s="169"/>
      <c r="C86" s="160"/>
      <c r="D86" s="247"/>
      <c r="E86" s="247"/>
      <c r="F86" s="247"/>
      <c r="G86" s="247"/>
      <c r="H86" s="247"/>
      <c r="I86" s="247"/>
      <c r="J86" s="247"/>
      <c r="K86" s="248"/>
    </row>
    <row r="87" spans="1:11" x14ac:dyDescent="0.25">
      <c r="A87" s="167"/>
      <c r="B87" s="169"/>
      <c r="C87" s="160"/>
      <c r="D87" s="252" t="s">
        <v>402</v>
      </c>
      <c r="E87" s="247"/>
      <c r="F87" s="247"/>
      <c r="G87" s="247"/>
      <c r="H87" s="247"/>
      <c r="I87" s="247"/>
      <c r="J87" s="247"/>
      <c r="K87" s="248"/>
    </row>
    <row r="88" spans="1:11" ht="15.75" thickBot="1" x14ac:dyDescent="0.3">
      <c r="A88" s="167"/>
      <c r="B88" s="169"/>
      <c r="C88" s="160"/>
      <c r="D88" s="252"/>
      <c r="E88" s="247"/>
      <c r="F88" s="247"/>
      <c r="G88" s="247"/>
      <c r="H88" s="247"/>
      <c r="I88" s="247"/>
      <c r="J88" s="247"/>
      <c r="K88" s="248"/>
    </row>
    <row r="89" spans="1:11" thickBot="1" x14ac:dyDescent="0.25">
      <c r="A89" s="167"/>
      <c r="B89" s="474" t="s">
        <v>545</v>
      </c>
      <c r="C89" s="160"/>
      <c r="D89" s="253" t="s">
        <v>556</v>
      </c>
      <c r="E89" s="279" t="s">
        <v>546</v>
      </c>
      <c r="F89" s="279" t="s">
        <v>547</v>
      </c>
      <c r="G89" s="279" t="s">
        <v>548</v>
      </c>
      <c r="H89" s="279" t="s">
        <v>549</v>
      </c>
      <c r="I89" s="279" t="s">
        <v>549</v>
      </c>
      <c r="J89" s="279" t="s">
        <v>550</v>
      </c>
      <c r="K89" s="279" t="s">
        <v>39</v>
      </c>
    </row>
    <row r="90" spans="1:11" x14ac:dyDescent="0.25">
      <c r="A90" s="167"/>
      <c r="B90" s="474"/>
      <c r="C90" s="160"/>
      <c r="D90" s="254">
        <v>1</v>
      </c>
      <c r="E90" s="255">
        <v>75</v>
      </c>
      <c r="F90" s="255">
        <v>20</v>
      </c>
      <c r="G90" s="255">
        <v>15</v>
      </c>
      <c r="H90" s="255">
        <v>15</v>
      </c>
      <c r="I90" s="255">
        <v>15</v>
      </c>
      <c r="J90" s="255">
        <v>15</v>
      </c>
      <c r="K90" s="255">
        <v>35</v>
      </c>
    </row>
    <row r="91" spans="1:11" x14ac:dyDescent="0.25">
      <c r="A91" s="167"/>
      <c r="B91" s="474"/>
      <c r="C91" s="160"/>
      <c r="D91" s="254">
        <v>2</v>
      </c>
      <c r="E91" s="255">
        <v>90</v>
      </c>
      <c r="F91" s="255">
        <v>30</v>
      </c>
      <c r="G91" s="255">
        <v>15</v>
      </c>
      <c r="H91" s="255">
        <v>15</v>
      </c>
      <c r="I91" s="255">
        <v>15</v>
      </c>
      <c r="J91" s="255">
        <v>15</v>
      </c>
      <c r="K91" s="255">
        <v>60</v>
      </c>
    </row>
    <row r="92" spans="1:11" x14ac:dyDescent="0.25">
      <c r="A92" s="167"/>
      <c r="B92" s="474"/>
      <c r="C92" s="160"/>
      <c r="D92" s="254">
        <v>3</v>
      </c>
      <c r="E92" s="255">
        <v>105</v>
      </c>
      <c r="F92" s="255">
        <v>45</v>
      </c>
      <c r="G92" s="255">
        <v>30</v>
      </c>
      <c r="H92" s="255">
        <v>15</v>
      </c>
      <c r="I92" s="255">
        <v>15</v>
      </c>
      <c r="J92" s="255">
        <v>15</v>
      </c>
      <c r="K92" s="255">
        <v>75</v>
      </c>
    </row>
    <row r="93" spans="1:11" x14ac:dyDescent="0.25">
      <c r="A93" s="167"/>
      <c r="B93" s="474"/>
      <c r="C93" s="160"/>
      <c r="D93" s="254">
        <v>4</v>
      </c>
      <c r="E93" s="255">
        <v>120</v>
      </c>
      <c r="F93" s="255">
        <v>45</v>
      </c>
      <c r="G93" s="255">
        <v>30</v>
      </c>
      <c r="H93" s="255">
        <v>30</v>
      </c>
      <c r="I93" s="255">
        <v>15</v>
      </c>
      <c r="J93" s="255">
        <v>15</v>
      </c>
      <c r="K93" s="255">
        <v>90</v>
      </c>
    </row>
    <row r="94" spans="1:11" x14ac:dyDescent="0.25">
      <c r="A94" s="167"/>
      <c r="B94" s="474"/>
      <c r="C94" s="160"/>
      <c r="D94" s="254">
        <v>5</v>
      </c>
      <c r="E94" s="255">
        <v>135</v>
      </c>
      <c r="F94" s="255">
        <v>45</v>
      </c>
      <c r="G94" s="255">
        <v>30</v>
      </c>
      <c r="H94" s="255">
        <v>30</v>
      </c>
      <c r="I94" s="255">
        <v>15</v>
      </c>
      <c r="J94" s="255">
        <v>15</v>
      </c>
      <c r="K94" s="255">
        <v>105</v>
      </c>
    </row>
    <row r="95" spans="1:11" x14ac:dyDescent="0.25">
      <c r="A95" s="167"/>
      <c r="B95" s="294"/>
      <c r="C95" s="160"/>
      <c r="D95" s="254">
        <v>6</v>
      </c>
      <c r="E95" s="255">
        <v>135</v>
      </c>
      <c r="F95" s="255">
        <v>45</v>
      </c>
      <c r="G95" s="255">
        <v>30</v>
      </c>
      <c r="H95" s="255">
        <v>30</v>
      </c>
      <c r="I95" s="255">
        <v>15</v>
      </c>
      <c r="J95" s="255">
        <v>15</v>
      </c>
      <c r="K95" s="255">
        <v>120</v>
      </c>
    </row>
    <row r="96" spans="1:11" x14ac:dyDescent="0.25">
      <c r="A96" s="167"/>
      <c r="B96" s="169"/>
      <c r="C96" s="160"/>
      <c r="D96" s="254">
        <v>7</v>
      </c>
      <c r="E96" s="255">
        <v>135</v>
      </c>
      <c r="F96" s="255">
        <v>45</v>
      </c>
      <c r="G96" s="255">
        <v>30</v>
      </c>
      <c r="H96" s="255">
        <v>30</v>
      </c>
      <c r="I96" s="255">
        <v>15</v>
      </c>
      <c r="J96" s="255">
        <v>15</v>
      </c>
      <c r="K96" s="255">
        <v>135</v>
      </c>
    </row>
    <row r="97" spans="1:11" x14ac:dyDescent="0.25">
      <c r="A97" s="167"/>
      <c r="B97" s="169"/>
      <c r="C97" s="160"/>
      <c r="D97" s="252"/>
      <c r="E97" s="247"/>
      <c r="F97" s="247"/>
      <c r="G97" s="247"/>
      <c r="H97" s="247"/>
      <c r="I97" s="247"/>
      <c r="J97" s="247"/>
      <c r="K97" s="248"/>
    </row>
    <row r="98" spans="1:11" x14ac:dyDescent="0.25">
      <c r="A98" s="167"/>
      <c r="B98" s="169"/>
      <c r="C98" s="160"/>
      <c r="D98" s="469" t="s">
        <v>403</v>
      </c>
      <c r="E98" s="469"/>
      <c r="F98" s="469"/>
      <c r="G98" s="469"/>
      <c r="H98" s="469"/>
      <c r="I98" s="469"/>
      <c r="J98" s="469"/>
      <c r="K98" s="470"/>
    </row>
    <row r="99" spans="1:11" x14ac:dyDescent="0.25">
      <c r="A99" s="167"/>
      <c r="B99" s="169"/>
      <c r="C99" s="160"/>
      <c r="D99" s="252" t="s">
        <v>404</v>
      </c>
      <c r="E99" s="247"/>
      <c r="F99" s="247"/>
      <c r="G99" s="247"/>
      <c r="H99" s="247"/>
      <c r="I99" s="247"/>
      <c r="J99" s="247"/>
      <c r="K99" s="248"/>
    </row>
    <row r="100" spans="1:11" x14ac:dyDescent="0.25">
      <c r="A100" s="167"/>
      <c r="B100" s="169"/>
      <c r="C100" s="160"/>
      <c r="D100" s="252"/>
      <c r="E100" s="247"/>
      <c r="F100" s="247"/>
      <c r="G100" s="247"/>
      <c r="H100" s="247"/>
      <c r="I100" s="247"/>
      <c r="J100" s="247"/>
      <c r="K100" s="248"/>
    </row>
    <row r="101" spans="1:11" ht="18" customHeight="1" x14ac:dyDescent="0.25">
      <c r="A101" s="167"/>
      <c r="B101" s="169"/>
      <c r="C101" s="160"/>
      <c r="D101" s="252"/>
      <c r="E101" s="247"/>
      <c r="F101" s="247"/>
      <c r="G101" s="471" t="s">
        <v>405</v>
      </c>
      <c r="H101" s="471"/>
      <c r="I101" s="471"/>
      <c r="J101" s="471"/>
      <c r="K101" s="472"/>
    </row>
    <row r="102" spans="1:11" x14ac:dyDescent="0.25">
      <c r="A102" s="167"/>
      <c r="B102" s="169"/>
      <c r="C102" s="160"/>
      <c r="D102" s="252"/>
      <c r="E102" s="247"/>
      <c r="F102" s="247"/>
      <c r="G102" s="471"/>
      <c r="H102" s="471"/>
      <c r="I102" s="471"/>
      <c r="J102" s="471"/>
      <c r="K102" s="472"/>
    </row>
    <row r="103" spans="1:11" x14ac:dyDescent="0.25">
      <c r="A103" s="167"/>
      <c r="B103" s="169"/>
      <c r="C103" s="160"/>
      <c r="D103" s="252"/>
      <c r="E103" s="247"/>
      <c r="F103" s="247"/>
      <c r="G103" s="471"/>
      <c r="H103" s="471"/>
      <c r="I103" s="471"/>
      <c r="J103" s="471"/>
      <c r="K103" s="472"/>
    </row>
    <row r="104" spans="1:11" x14ac:dyDescent="0.25">
      <c r="A104" s="167"/>
      <c r="B104" s="169"/>
      <c r="C104" s="160"/>
      <c r="D104" s="252"/>
      <c r="E104" s="247"/>
      <c r="F104" s="247"/>
      <c r="G104" s="471"/>
      <c r="H104" s="471"/>
      <c r="I104" s="471"/>
      <c r="J104" s="471"/>
      <c r="K104" s="472"/>
    </row>
    <row r="105" spans="1:11" x14ac:dyDescent="0.25">
      <c r="A105" s="167"/>
      <c r="B105" s="169"/>
      <c r="C105" s="160"/>
      <c r="D105" s="252"/>
      <c r="E105" s="247"/>
      <c r="F105" s="247"/>
      <c r="G105" s="247"/>
      <c r="H105" s="247"/>
      <c r="I105" s="247"/>
      <c r="J105" s="247"/>
      <c r="K105" s="248"/>
    </row>
    <row r="106" spans="1:11" x14ac:dyDescent="0.25">
      <c r="A106" s="167"/>
      <c r="B106" s="169"/>
      <c r="C106" s="160"/>
      <c r="D106" s="252"/>
      <c r="E106" s="247"/>
      <c r="F106" s="247"/>
      <c r="G106" s="247"/>
      <c r="H106" s="247"/>
      <c r="I106" s="247"/>
      <c r="J106" s="247"/>
      <c r="K106" s="248"/>
    </row>
    <row r="107" spans="1:11" x14ac:dyDescent="0.25">
      <c r="A107" s="167"/>
      <c r="B107" s="169"/>
      <c r="C107" s="160"/>
      <c r="D107" s="252"/>
      <c r="E107" s="247"/>
      <c r="F107" s="247"/>
      <c r="G107" s="247"/>
      <c r="H107" s="247"/>
      <c r="I107" s="247"/>
      <c r="J107" s="247"/>
      <c r="K107" s="248"/>
    </row>
    <row r="108" spans="1:11" x14ac:dyDescent="0.25">
      <c r="A108" s="167"/>
      <c r="B108" s="169"/>
      <c r="C108" s="160"/>
      <c r="D108" s="252"/>
      <c r="E108" s="247"/>
      <c r="F108" s="247"/>
      <c r="G108" s="247"/>
      <c r="H108" s="247"/>
      <c r="I108" s="247"/>
      <c r="J108" s="247"/>
      <c r="K108" s="248"/>
    </row>
    <row r="109" spans="1:11" x14ac:dyDescent="0.25">
      <c r="A109" s="167"/>
      <c r="B109" s="169"/>
      <c r="C109" s="160"/>
      <c r="D109" s="252"/>
      <c r="E109" s="247"/>
      <c r="F109" s="247"/>
      <c r="G109" s="247"/>
      <c r="H109" s="247"/>
      <c r="I109" s="247"/>
      <c r="J109" s="247"/>
      <c r="K109" s="248"/>
    </row>
    <row r="110" spans="1:11" x14ac:dyDescent="0.25">
      <c r="A110" s="167"/>
      <c r="B110" s="169"/>
      <c r="C110" s="160"/>
      <c r="D110" s="257"/>
      <c r="E110" s="247"/>
      <c r="F110" s="247"/>
      <c r="G110" s="247"/>
      <c r="H110" s="247"/>
      <c r="I110" s="247"/>
      <c r="J110" s="247"/>
      <c r="K110" s="248"/>
    </row>
    <row r="111" spans="1:11" x14ac:dyDescent="0.25">
      <c r="A111" s="167"/>
      <c r="B111" s="168" t="s">
        <v>410</v>
      </c>
      <c r="C111" s="160"/>
      <c r="D111" s="252"/>
      <c r="E111" s="247"/>
      <c r="F111" s="247"/>
      <c r="G111" s="247"/>
      <c r="H111" s="247"/>
      <c r="I111" s="247"/>
      <c r="J111" s="247"/>
      <c r="K111" s="248"/>
    </row>
    <row r="112" spans="1:11" x14ac:dyDescent="0.25">
      <c r="A112" s="167"/>
      <c r="B112" s="169"/>
      <c r="C112" s="160"/>
      <c r="D112" s="252"/>
      <c r="E112" s="247"/>
      <c r="F112" s="247"/>
      <c r="G112" s="247"/>
      <c r="H112" s="247"/>
      <c r="I112" s="247"/>
      <c r="J112" s="247"/>
      <c r="K112" s="248"/>
    </row>
    <row r="113" spans="1:17" x14ac:dyDescent="0.25">
      <c r="A113" s="167"/>
      <c r="B113" s="169" t="s">
        <v>411</v>
      </c>
      <c r="C113" s="162" t="s">
        <v>495</v>
      </c>
      <c r="D113" s="257" t="s">
        <v>412</v>
      </c>
      <c r="E113" s="247"/>
      <c r="F113" s="247"/>
      <c r="G113" s="247"/>
      <c r="H113" s="247"/>
      <c r="I113" s="247"/>
      <c r="J113" s="247"/>
      <c r="K113" s="248"/>
      <c r="M113" s="283" t="s">
        <v>492</v>
      </c>
    </row>
    <row r="114" spans="1:17" x14ac:dyDescent="0.25">
      <c r="A114" s="167"/>
      <c r="B114" s="169"/>
      <c r="C114" s="160"/>
      <c r="D114" s="252" t="s">
        <v>413</v>
      </c>
      <c r="E114" s="247"/>
      <c r="F114" s="247"/>
      <c r="G114" s="247"/>
      <c r="H114" s="247"/>
      <c r="I114" s="247"/>
      <c r="J114" s="247"/>
      <c r="K114" s="248"/>
    </row>
    <row r="115" spans="1:17" x14ac:dyDescent="0.25">
      <c r="A115" s="167"/>
      <c r="B115" s="169"/>
      <c r="C115" s="160"/>
      <c r="D115" s="252" t="s">
        <v>414</v>
      </c>
      <c r="E115" s="247"/>
      <c r="F115" s="247"/>
      <c r="G115" s="247"/>
      <c r="H115" s="247"/>
      <c r="I115" s="247"/>
      <c r="J115" s="247"/>
      <c r="K115" s="248"/>
    </row>
    <row r="116" spans="1:17" x14ac:dyDescent="0.25">
      <c r="A116" s="167"/>
      <c r="B116" s="169"/>
      <c r="C116" s="160"/>
      <c r="D116" s="252" t="s">
        <v>415</v>
      </c>
      <c r="E116" s="247"/>
      <c r="F116" s="247"/>
      <c r="G116" s="247"/>
      <c r="H116" s="247"/>
      <c r="I116" s="247"/>
      <c r="J116" s="247"/>
      <c r="K116" s="248"/>
    </row>
    <row r="117" spans="1:17" x14ac:dyDescent="0.25">
      <c r="A117" s="167"/>
      <c r="B117" s="169"/>
      <c r="C117" s="160"/>
      <c r="D117" s="252" t="s">
        <v>416</v>
      </c>
      <c r="E117" s="247"/>
      <c r="F117" s="247"/>
      <c r="G117" s="247"/>
      <c r="H117" s="247"/>
      <c r="I117" s="247"/>
      <c r="J117" s="247"/>
      <c r="K117" s="248"/>
    </row>
    <row r="118" spans="1:17" ht="14.25" x14ac:dyDescent="0.2">
      <c r="A118" s="167"/>
      <c r="B118" s="169"/>
      <c r="C118" s="160"/>
      <c r="D118" s="465" t="s">
        <v>493</v>
      </c>
      <c r="E118" s="465"/>
      <c r="F118" s="465"/>
      <c r="G118" s="465"/>
      <c r="H118" s="465"/>
      <c r="I118" s="465"/>
      <c r="J118" s="465"/>
      <c r="K118" s="466"/>
      <c r="Q118" s="158" t="s">
        <v>495</v>
      </c>
    </row>
    <row r="119" spans="1:17" ht="14.25" x14ac:dyDescent="0.2">
      <c r="A119" s="167"/>
      <c r="B119" s="169"/>
      <c r="C119" s="160"/>
      <c r="D119" s="465"/>
      <c r="E119" s="465"/>
      <c r="F119" s="465"/>
      <c r="G119" s="465"/>
      <c r="H119" s="465"/>
      <c r="I119" s="465"/>
      <c r="J119" s="465"/>
      <c r="K119" s="466"/>
    </row>
    <row r="120" spans="1:17" ht="14.25" x14ac:dyDescent="0.2">
      <c r="A120" s="167"/>
      <c r="B120" s="169"/>
      <c r="C120" s="160"/>
      <c r="D120" s="465"/>
      <c r="E120" s="465"/>
      <c r="F120" s="465"/>
      <c r="G120" s="465"/>
      <c r="H120" s="465"/>
      <c r="I120" s="465"/>
      <c r="J120" s="465"/>
      <c r="K120" s="466"/>
    </row>
    <row r="121" spans="1:17" ht="14.25" x14ac:dyDescent="0.2">
      <c r="A121" s="167"/>
      <c r="B121" s="169"/>
      <c r="C121" s="160"/>
      <c r="D121" s="263" t="s">
        <v>417</v>
      </c>
      <c r="E121" s="259"/>
      <c r="F121" s="259"/>
      <c r="G121" s="259"/>
      <c r="H121" s="259"/>
      <c r="I121" s="259"/>
      <c r="J121" s="259"/>
      <c r="K121" s="260"/>
      <c r="Q121" s="158" t="s">
        <v>497</v>
      </c>
    </row>
    <row r="122" spans="1:17" ht="14.25" x14ac:dyDescent="0.2">
      <c r="A122" s="167"/>
      <c r="B122" s="169"/>
      <c r="C122" s="160"/>
      <c r="D122" s="465" t="s">
        <v>419</v>
      </c>
      <c r="E122" s="465"/>
      <c r="F122" s="465"/>
      <c r="G122" s="465"/>
      <c r="H122" s="465"/>
      <c r="I122" s="465"/>
      <c r="J122" s="465"/>
      <c r="K122" s="466"/>
    </row>
    <row r="123" spans="1:17" ht="14.25" x14ac:dyDescent="0.2">
      <c r="A123" s="167"/>
      <c r="B123" s="169"/>
      <c r="C123" s="160"/>
      <c r="D123" s="465"/>
      <c r="E123" s="465"/>
      <c r="F123" s="465"/>
      <c r="G123" s="465"/>
      <c r="H123" s="465"/>
      <c r="I123" s="465"/>
      <c r="J123" s="465"/>
      <c r="K123" s="466"/>
    </row>
    <row r="124" spans="1:17" ht="14.25" x14ac:dyDescent="0.2">
      <c r="A124" s="167"/>
      <c r="B124" s="169"/>
      <c r="C124" s="160"/>
      <c r="D124" s="262" t="s">
        <v>420</v>
      </c>
      <c r="E124" s="259"/>
      <c r="F124" s="259"/>
      <c r="G124" s="259"/>
      <c r="H124" s="259"/>
      <c r="I124" s="259"/>
      <c r="J124" s="259"/>
      <c r="K124" s="260"/>
    </row>
    <row r="125" spans="1:17" ht="14.25" x14ac:dyDescent="0.2">
      <c r="A125" s="167"/>
      <c r="B125" s="169"/>
      <c r="C125" s="160"/>
      <c r="D125" s="259"/>
      <c r="E125" s="259"/>
      <c r="F125" s="259"/>
      <c r="G125" s="259"/>
      <c r="H125" s="259"/>
      <c r="I125" s="259"/>
      <c r="J125" s="259"/>
      <c r="K125" s="260"/>
    </row>
    <row r="126" spans="1:17" ht="14.25" x14ac:dyDescent="0.2">
      <c r="A126" s="167"/>
      <c r="B126" s="169"/>
      <c r="C126" s="162" t="s">
        <v>496</v>
      </c>
      <c r="D126" s="263" t="s">
        <v>418</v>
      </c>
      <c r="E126" s="259"/>
      <c r="F126" s="259"/>
      <c r="G126" s="259"/>
      <c r="H126" s="259"/>
      <c r="I126" s="259"/>
      <c r="J126" s="259"/>
      <c r="K126" s="260"/>
      <c r="Q126" s="160" t="s">
        <v>500</v>
      </c>
    </row>
    <row r="127" spans="1:17" ht="14.25" x14ac:dyDescent="0.2">
      <c r="A127" s="167"/>
      <c r="B127" s="169"/>
      <c r="C127" s="160"/>
      <c r="D127" s="261" t="s">
        <v>421</v>
      </c>
      <c r="E127" s="259"/>
      <c r="F127" s="259"/>
      <c r="G127" s="259"/>
      <c r="H127" s="259"/>
      <c r="I127" s="259"/>
      <c r="J127" s="259"/>
      <c r="K127" s="260"/>
    </row>
    <row r="128" spans="1:17" ht="14.25" x14ac:dyDescent="0.2">
      <c r="A128" s="167"/>
      <c r="B128" s="169"/>
      <c r="C128" s="160"/>
      <c r="D128" s="465" t="s">
        <v>422</v>
      </c>
      <c r="E128" s="465"/>
      <c r="F128" s="465"/>
      <c r="G128" s="465"/>
      <c r="H128" s="465"/>
      <c r="I128" s="465"/>
      <c r="J128" s="465"/>
      <c r="K128" s="466"/>
    </row>
    <row r="129" spans="1:17" ht="14.25" x14ac:dyDescent="0.2">
      <c r="A129" s="167"/>
      <c r="B129" s="169"/>
      <c r="C129" s="160"/>
      <c r="D129" s="465"/>
      <c r="E129" s="465"/>
      <c r="F129" s="465"/>
      <c r="G129" s="465"/>
      <c r="H129" s="465"/>
      <c r="I129" s="465"/>
      <c r="J129" s="465"/>
      <c r="K129" s="466"/>
    </row>
    <row r="130" spans="1:17" ht="14.25" x14ac:dyDescent="0.2">
      <c r="A130" s="167"/>
      <c r="B130" s="169"/>
      <c r="C130" s="160"/>
      <c r="D130" s="263"/>
      <c r="E130" s="259"/>
      <c r="F130" s="259"/>
      <c r="G130" s="259"/>
      <c r="H130" s="259"/>
      <c r="I130" s="259"/>
      <c r="J130" s="259"/>
      <c r="K130" s="260"/>
      <c r="M130" s="283" t="s">
        <v>494</v>
      </c>
    </row>
    <row r="131" spans="1:17" ht="14.25" x14ac:dyDescent="0.2">
      <c r="A131" s="167"/>
      <c r="B131" s="169"/>
      <c r="C131" s="160"/>
      <c r="D131" s="263" t="s">
        <v>423</v>
      </c>
      <c r="E131" s="259"/>
      <c r="F131" s="259"/>
      <c r="G131" s="259"/>
      <c r="H131" s="259"/>
      <c r="I131" s="259"/>
      <c r="J131" s="259"/>
      <c r="K131" s="260"/>
    </row>
    <row r="132" spans="1:17" ht="14.25" x14ac:dyDescent="0.2">
      <c r="A132" s="167"/>
      <c r="B132" s="169"/>
      <c r="C132" s="160"/>
      <c r="D132" s="465" t="s">
        <v>424</v>
      </c>
      <c r="E132" s="465"/>
      <c r="F132" s="465"/>
      <c r="G132" s="465"/>
      <c r="H132" s="465"/>
      <c r="I132" s="465"/>
      <c r="J132" s="465"/>
      <c r="K132" s="466"/>
    </row>
    <row r="133" spans="1:17" ht="14.25" x14ac:dyDescent="0.2">
      <c r="A133" s="167"/>
      <c r="B133" s="169"/>
      <c r="C133" s="160"/>
      <c r="D133" s="465"/>
      <c r="E133" s="465"/>
      <c r="F133" s="465"/>
      <c r="G133" s="465"/>
      <c r="H133" s="465"/>
      <c r="I133" s="465"/>
      <c r="J133" s="465"/>
      <c r="K133" s="466"/>
    </row>
    <row r="134" spans="1:17" ht="14.25" x14ac:dyDescent="0.2">
      <c r="A134" s="167"/>
      <c r="B134" s="169"/>
      <c r="C134" s="160"/>
      <c r="D134" s="465"/>
      <c r="E134" s="465"/>
      <c r="F134" s="465"/>
      <c r="G134" s="465"/>
      <c r="H134" s="465"/>
      <c r="I134" s="465"/>
      <c r="J134" s="465"/>
      <c r="K134" s="466"/>
    </row>
    <row r="135" spans="1:17" ht="14.25" x14ac:dyDescent="0.2">
      <c r="A135" s="167"/>
      <c r="B135" s="169"/>
      <c r="C135" s="160"/>
      <c r="D135" s="465"/>
      <c r="E135" s="465"/>
      <c r="F135" s="465"/>
      <c r="G135" s="465"/>
      <c r="H135" s="465"/>
      <c r="I135" s="465"/>
      <c r="J135" s="465"/>
      <c r="K135" s="466"/>
      <c r="Q135" s="158" t="s">
        <v>496</v>
      </c>
    </row>
    <row r="136" spans="1:17" ht="14.25" x14ac:dyDescent="0.2">
      <c r="A136" s="167"/>
      <c r="B136" s="169"/>
      <c r="C136" s="160"/>
      <c r="D136" s="261"/>
      <c r="E136" s="259"/>
      <c r="F136" s="259"/>
      <c r="G136" s="259"/>
      <c r="H136" s="259"/>
      <c r="I136" s="259"/>
      <c r="J136" s="259"/>
      <c r="K136" s="260"/>
    </row>
    <row r="137" spans="1:17" ht="14.25" x14ac:dyDescent="0.2">
      <c r="A137" s="167"/>
      <c r="B137" s="169" t="s">
        <v>64</v>
      </c>
      <c r="C137" s="162" t="s">
        <v>497</v>
      </c>
      <c r="D137" s="261" t="s">
        <v>425</v>
      </c>
      <c r="E137" s="259"/>
      <c r="F137" s="259"/>
      <c r="G137" s="259"/>
      <c r="H137" s="259"/>
      <c r="I137" s="259"/>
      <c r="J137" s="259"/>
      <c r="K137" s="260"/>
    </row>
    <row r="138" spans="1:17" ht="37.15" customHeight="1" x14ac:dyDescent="0.2">
      <c r="A138" s="167"/>
      <c r="B138" s="169"/>
      <c r="C138" s="160"/>
      <c r="D138" s="465" t="s">
        <v>498</v>
      </c>
      <c r="E138" s="465"/>
      <c r="F138" s="465"/>
      <c r="G138" s="465"/>
      <c r="H138" s="465"/>
      <c r="I138" s="465"/>
      <c r="J138" s="465"/>
      <c r="K138" s="466"/>
    </row>
    <row r="139" spans="1:17" ht="14.25" x14ac:dyDescent="0.2">
      <c r="A139" s="167"/>
      <c r="B139" s="169"/>
      <c r="C139" s="160"/>
      <c r="D139" s="261" t="s">
        <v>426</v>
      </c>
      <c r="E139" s="259"/>
      <c r="F139" s="259"/>
      <c r="G139" s="259"/>
      <c r="H139" s="259"/>
      <c r="I139" s="259"/>
      <c r="J139" s="259"/>
      <c r="K139" s="260"/>
    </row>
    <row r="140" spans="1:17" ht="14.25" x14ac:dyDescent="0.2">
      <c r="A140" s="167"/>
      <c r="B140" s="169"/>
      <c r="C140" s="160"/>
      <c r="D140" s="261"/>
      <c r="E140" s="259"/>
      <c r="F140" s="259"/>
      <c r="G140" s="259"/>
      <c r="H140" s="259"/>
      <c r="I140" s="259"/>
      <c r="J140" s="259"/>
      <c r="K140" s="260"/>
    </row>
    <row r="141" spans="1:17" ht="14.25" x14ac:dyDescent="0.2">
      <c r="A141" s="167"/>
      <c r="B141" s="169" t="s">
        <v>427</v>
      </c>
      <c r="C141" s="162" t="s">
        <v>500</v>
      </c>
      <c r="D141" s="261" t="s">
        <v>425</v>
      </c>
      <c r="E141" s="259"/>
      <c r="F141" s="259"/>
      <c r="G141" s="259"/>
      <c r="H141" s="259"/>
      <c r="I141" s="259"/>
      <c r="J141" s="259"/>
      <c r="K141" s="260"/>
    </row>
    <row r="142" spans="1:17" ht="14.25" x14ac:dyDescent="0.2">
      <c r="A142" s="167"/>
      <c r="B142" s="169"/>
      <c r="C142" s="160"/>
      <c r="D142" s="261" t="s">
        <v>499</v>
      </c>
      <c r="E142" s="259"/>
      <c r="F142" s="259"/>
      <c r="G142" s="259"/>
      <c r="H142" s="259"/>
      <c r="I142" s="259"/>
      <c r="J142" s="259"/>
      <c r="K142" s="260"/>
      <c r="Q142" s="158" t="s">
        <v>497</v>
      </c>
    </row>
    <row r="143" spans="1:17" ht="14.25" x14ac:dyDescent="0.2">
      <c r="A143" s="167"/>
      <c r="B143" s="169"/>
      <c r="C143" s="160"/>
      <c r="D143" s="261"/>
      <c r="E143" s="259"/>
      <c r="F143" s="259"/>
      <c r="G143" s="259"/>
      <c r="H143" s="259"/>
      <c r="I143" s="259"/>
      <c r="J143" s="259"/>
      <c r="K143" s="260"/>
    </row>
    <row r="144" spans="1:17" ht="14.25" x14ac:dyDescent="0.2">
      <c r="A144" s="167"/>
      <c r="B144" s="169" t="s">
        <v>428</v>
      </c>
      <c r="C144" s="160"/>
      <c r="D144" s="261" t="s">
        <v>425</v>
      </c>
      <c r="E144" s="259"/>
      <c r="F144" s="259"/>
      <c r="G144" s="259"/>
      <c r="H144" s="259"/>
      <c r="I144" s="259"/>
      <c r="J144" s="259"/>
      <c r="K144" s="260"/>
    </row>
    <row r="145" spans="1:17" ht="14.25" x14ac:dyDescent="0.2">
      <c r="A145" s="167"/>
      <c r="B145" s="169"/>
      <c r="C145" s="160"/>
      <c r="D145" s="261" t="s">
        <v>429</v>
      </c>
      <c r="E145" s="259"/>
      <c r="F145" s="259"/>
      <c r="G145" s="259"/>
      <c r="H145" s="259"/>
      <c r="I145" s="259"/>
      <c r="J145" s="259"/>
      <c r="K145" s="260"/>
    </row>
    <row r="146" spans="1:17" ht="14.25" x14ac:dyDescent="0.2">
      <c r="A146" s="167"/>
      <c r="B146" s="169"/>
      <c r="C146" s="160"/>
      <c r="D146" s="465" t="s">
        <v>430</v>
      </c>
      <c r="E146" s="465"/>
      <c r="F146" s="465"/>
      <c r="G146" s="465"/>
      <c r="H146" s="465"/>
      <c r="I146" s="465"/>
      <c r="J146" s="465"/>
      <c r="K146" s="466"/>
    </row>
    <row r="147" spans="1:17" ht="14.25" x14ac:dyDescent="0.2">
      <c r="A147" s="167"/>
      <c r="B147" s="169"/>
      <c r="C147" s="160"/>
      <c r="D147" s="465"/>
      <c r="E147" s="465"/>
      <c r="F147" s="465"/>
      <c r="G147" s="465"/>
      <c r="H147" s="465"/>
      <c r="I147" s="465"/>
      <c r="J147" s="465"/>
      <c r="K147" s="466"/>
    </row>
    <row r="148" spans="1:17" ht="14.25" x14ac:dyDescent="0.2">
      <c r="A148" s="167"/>
      <c r="B148" s="169"/>
      <c r="C148" s="160"/>
      <c r="D148" s="261"/>
      <c r="E148" s="259"/>
      <c r="F148" s="259"/>
      <c r="G148" s="259"/>
      <c r="H148" s="259"/>
      <c r="I148" s="259"/>
      <c r="J148" s="259"/>
      <c r="K148" s="260"/>
      <c r="N148" s="158" t="s">
        <v>501</v>
      </c>
    </row>
    <row r="149" spans="1:17" x14ac:dyDescent="0.25">
      <c r="A149" s="167"/>
      <c r="B149" s="169"/>
      <c r="C149" s="160"/>
      <c r="D149" s="239"/>
      <c r="E149" s="239"/>
      <c r="F149" s="240"/>
      <c r="G149" s="240"/>
      <c r="H149" s="240"/>
      <c r="I149" s="240"/>
      <c r="J149" s="240"/>
      <c r="K149" s="246"/>
    </row>
    <row r="150" spans="1:17" ht="15.75" thickBot="1" x14ac:dyDescent="0.3">
      <c r="A150" s="171"/>
      <c r="B150" s="172"/>
      <c r="C150" s="163"/>
      <c r="D150" s="241"/>
      <c r="E150" s="241"/>
      <c r="F150" s="242"/>
      <c r="G150" s="242"/>
      <c r="H150" s="242"/>
      <c r="I150" s="242"/>
      <c r="J150" s="242"/>
      <c r="K150" s="264"/>
    </row>
    <row r="151" spans="1:17" ht="13.5" customHeight="1" x14ac:dyDescent="0.25">
      <c r="A151" s="157"/>
    </row>
    <row r="152" spans="1:17" ht="15.75" x14ac:dyDescent="0.25">
      <c r="A152" s="157"/>
      <c r="B152" s="168" t="s">
        <v>348</v>
      </c>
    </row>
    <row r="153" spans="1:17" ht="6" customHeight="1" thickBot="1" x14ac:dyDescent="0.3">
      <c r="A153" s="157"/>
      <c r="B153" s="157"/>
    </row>
    <row r="154" spans="1:17" ht="15.75" thickBot="1" x14ac:dyDescent="0.3">
      <c r="A154" s="174"/>
      <c r="B154" s="175"/>
      <c r="C154" s="175"/>
      <c r="D154" s="265"/>
      <c r="E154" s="265"/>
      <c r="F154" s="266"/>
      <c r="G154" s="266"/>
      <c r="H154" s="266"/>
      <c r="I154" s="266"/>
      <c r="J154" s="266"/>
      <c r="K154" s="267"/>
    </row>
    <row r="155" spans="1:17" ht="15.75" thickBot="1" x14ac:dyDescent="0.3">
      <c r="A155" s="176"/>
      <c r="B155" s="173"/>
      <c r="C155" s="160"/>
      <c r="D155" s="239" t="s">
        <v>431</v>
      </c>
      <c r="E155" s="239"/>
      <c r="F155" s="240"/>
      <c r="G155" s="240"/>
      <c r="H155" s="240"/>
      <c r="I155" s="240"/>
      <c r="J155" s="240"/>
      <c r="K155" s="268"/>
      <c r="Q155" s="160" t="s">
        <v>500</v>
      </c>
    </row>
    <row r="156" spans="1:17" x14ac:dyDescent="0.25">
      <c r="A156" s="176"/>
      <c r="B156" s="160"/>
      <c r="C156" s="160"/>
      <c r="D156" s="239"/>
      <c r="E156" s="239"/>
      <c r="F156" s="240"/>
      <c r="G156" s="240"/>
      <c r="H156" s="240"/>
      <c r="I156" s="240"/>
      <c r="J156" s="240"/>
      <c r="K156" s="268"/>
    </row>
    <row r="157" spans="1:17" ht="13.15" customHeight="1" x14ac:dyDescent="0.25">
      <c r="A157" s="176"/>
      <c r="B157" s="184"/>
      <c r="C157" s="160"/>
      <c r="D157" s="239" t="s">
        <v>432</v>
      </c>
      <c r="E157" s="239"/>
      <c r="F157" s="240"/>
      <c r="G157" s="240"/>
      <c r="H157" s="240"/>
      <c r="I157" s="240"/>
      <c r="J157" s="240"/>
      <c r="K157" s="268"/>
    </row>
    <row r="158" spans="1:17" ht="16.5" thickBot="1" x14ac:dyDescent="0.3">
      <c r="A158" s="185"/>
      <c r="B158" s="186"/>
      <c r="C158" s="177"/>
      <c r="D158" s="269"/>
      <c r="E158" s="269"/>
      <c r="F158" s="270"/>
      <c r="G158" s="270"/>
      <c r="H158" s="270"/>
      <c r="I158" s="270"/>
      <c r="J158" s="270"/>
      <c r="K158" s="271"/>
    </row>
    <row r="159" spans="1:17" ht="14.25" x14ac:dyDescent="0.2">
      <c r="A159" s="160"/>
      <c r="B159" s="160"/>
      <c r="C159" s="170"/>
      <c r="D159" s="259"/>
      <c r="E159" s="259"/>
      <c r="F159" s="259"/>
      <c r="G159" s="259"/>
      <c r="H159" s="259"/>
      <c r="I159" s="259"/>
      <c r="J159" s="259"/>
      <c r="K159" s="259"/>
    </row>
    <row r="160" spans="1:17" ht="19.899999999999999" customHeight="1" x14ac:dyDescent="0.25">
      <c r="A160" s="160"/>
      <c r="B160" s="168" t="s">
        <v>504</v>
      </c>
    </row>
    <row r="161" spans="1:12" ht="6" customHeight="1" thickBot="1" x14ac:dyDescent="0.3">
      <c r="A161" s="160"/>
      <c r="B161" s="157"/>
    </row>
    <row r="162" spans="1:12" x14ac:dyDescent="0.25">
      <c r="A162" s="174"/>
      <c r="B162" s="175"/>
      <c r="C162" s="175"/>
      <c r="D162" s="265"/>
      <c r="E162" s="265"/>
      <c r="F162" s="266"/>
      <c r="G162" s="266"/>
      <c r="H162" s="266"/>
      <c r="I162" s="266"/>
      <c r="J162" s="266"/>
      <c r="K162" s="267"/>
      <c r="L162" s="178"/>
    </row>
    <row r="163" spans="1:12" ht="54" customHeight="1" x14ac:dyDescent="0.2">
      <c r="A163" s="176"/>
      <c r="B163" s="286" t="s">
        <v>506</v>
      </c>
      <c r="C163" s="162"/>
      <c r="D163" s="465" t="s">
        <v>505</v>
      </c>
      <c r="E163" s="465"/>
      <c r="F163" s="465"/>
      <c r="G163" s="465"/>
      <c r="H163" s="465"/>
      <c r="I163" s="465"/>
      <c r="J163" s="465"/>
      <c r="K163" s="473"/>
    </row>
    <row r="164" spans="1:12" x14ac:dyDescent="0.25">
      <c r="A164" s="176"/>
      <c r="B164" s="169"/>
      <c r="C164" s="160"/>
      <c r="D164" s="239"/>
      <c r="E164" s="239"/>
      <c r="F164" s="240"/>
      <c r="G164" s="240"/>
      <c r="H164" s="240"/>
      <c r="I164" s="240"/>
      <c r="J164" s="240"/>
      <c r="K164" s="268"/>
    </row>
    <row r="165" spans="1:12" ht="50.45" customHeight="1" thickBot="1" x14ac:dyDescent="0.25">
      <c r="A165" s="176"/>
      <c r="B165" s="474" t="s">
        <v>511</v>
      </c>
      <c r="C165" s="474"/>
      <c r="D165" s="465" t="s">
        <v>558</v>
      </c>
      <c r="E165" s="465"/>
      <c r="F165" s="465"/>
      <c r="G165" s="465"/>
      <c r="H165" s="465"/>
      <c r="I165" s="465"/>
      <c r="J165" s="465"/>
      <c r="K165" s="473"/>
    </row>
    <row r="166" spans="1:12" ht="15.75" thickBot="1" x14ac:dyDescent="0.3">
      <c r="A166" s="176"/>
      <c r="B166" s="169"/>
      <c r="C166" s="160"/>
      <c r="D166" s="239"/>
      <c r="E166" s="279" t="s">
        <v>512</v>
      </c>
      <c r="F166" s="279"/>
      <c r="G166" s="279"/>
      <c r="H166" s="240"/>
      <c r="I166" s="240"/>
      <c r="J166" s="240"/>
      <c r="K166" s="268"/>
    </row>
    <row r="167" spans="1:12" x14ac:dyDescent="0.25">
      <c r="A167" s="176"/>
      <c r="B167" s="169"/>
      <c r="C167" s="160"/>
      <c r="D167" s="239"/>
      <c r="E167" s="254" t="s">
        <v>246</v>
      </c>
      <c r="F167" s="255">
        <v>6</v>
      </c>
      <c r="G167" s="255" t="s">
        <v>513</v>
      </c>
      <c r="H167" s="160"/>
      <c r="I167" s="240"/>
      <c r="J167" s="240"/>
      <c r="K167" s="268"/>
    </row>
    <row r="168" spans="1:12" x14ac:dyDescent="0.25">
      <c r="A168" s="176"/>
      <c r="B168" s="169"/>
      <c r="C168" s="160"/>
      <c r="D168" s="239"/>
      <c r="E168" s="254" t="s">
        <v>244</v>
      </c>
      <c r="F168" s="255">
        <v>20</v>
      </c>
      <c r="G168" s="255" t="s">
        <v>513</v>
      </c>
      <c r="H168" s="160"/>
      <c r="I168" s="240"/>
      <c r="J168" s="240"/>
      <c r="K168" s="268"/>
    </row>
    <row r="169" spans="1:12" x14ac:dyDescent="0.25">
      <c r="A169" s="176"/>
      <c r="B169" s="169"/>
      <c r="C169" s="160"/>
      <c r="D169" s="287" t="s">
        <v>516</v>
      </c>
      <c r="E169" s="254" t="s">
        <v>518</v>
      </c>
      <c r="F169" s="255">
        <v>15</v>
      </c>
      <c r="G169" s="255" t="s">
        <v>513</v>
      </c>
      <c r="H169" s="240"/>
      <c r="I169" s="240"/>
      <c r="J169" s="240"/>
      <c r="K169" s="268"/>
    </row>
    <row r="170" spans="1:12" x14ac:dyDescent="0.25">
      <c r="A170" s="176"/>
      <c r="B170" s="169"/>
      <c r="C170" s="160"/>
      <c r="D170" s="287" t="s">
        <v>516</v>
      </c>
      <c r="E170" s="254"/>
      <c r="F170" s="255"/>
      <c r="G170" s="255" t="s">
        <v>513</v>
      </c>
      <c r="H170" s="240"/>
      <c r="I170" s="240"/>
      <c r="J170" s="240"/>
      <c r="K170" s="268"/>
    </row>
    <row r="171" spans="1:12" x14ac:dyDescent="0.25">
      <c r="A171" s="176"/>
      <c r="B171" s="169"/>
      <c r="C171" s="160"/>
      <c r="D171" s="239"/>
      <c r="E171" s="160"/>
      <c r="F171" s="160"/>
      <c r="G171" s="160"/>
      <c r="H171" s="240"/>
      <c r="I171" s="240"/>
      <c r="J171" s="240"/>
      <c r="K171" s="268"/>
    </row>
    <row r="172" spans="1:12" ht="91.15" customHeight="1" x14ac:dyDescent="0.2">
      <c r="A172" s="176"/>
      <c r="B172" s="474" t="s">
        <v>529</v>
      </c>
      <c r="C172" s="474"/>
      <c r="D172" s="465" t="s">
        <v>531</v>
      </c>
      <c r="E172" s="465"/>
      <c r="F172" s="465"/>
      <c r="G172" s="465"/>
      <c r="H172" s="465"/>
      <c r="I172" s="465"/>
      <c r="J172" s="465"/>
      <c r="K172" s="473"/>
    </row>
    <row r="173" spans="1:12" x14ac:dyDescent="0.25">
      <c r="A173" s="176"/>
      <c r="B173" s="169"/>
      <c r="C173" s="160"/>
      <c r="D173" s="239"/>
      <c r="E173" s="239" t="s">
        <v>532</v>
      </c>
      <c r="F173" s="240"/>
      <c r="G173" s="240"/>
      <c r="H173" s="240"/>
      <c r="I173" s="240"/>
      <c r="J173" s="240"/>
      <c r="K173" s="268"/>
    </row>
    <row r="174" spans="1:12" ht="15.75" x14ac:dyDescent="0.25">
      <c r="A174" s="176"/>
      <c r="B174" s="169"/>
      <c r="C174" s="160"/>
      <c r="D174" s="239"/>
      <c r="E174" s="292" t="s">
        <v>530</v>
      </c>
      <c r="F174" s="293" t="s">
        <v>60</v>
      </c>
      <c r="G174" s="240"/>
      <c r="H174" s="240"/>
      <c r="I174" s="240"/>
      <c r="J174" s="240"/>
      <c r="K174" s="268"/>
    </row>
    <row r="175" spans="1:12" ht="15.75" x14ac:dyDescent="0.25">
      <c r="A175" s="176"/>
      <c r="B175" s="169"/>
      <c r="C175" s="160"/>
      <c r="D175" s="287"/>
      <c r="E175" s="292" t="s">
        <v>533</v>
      </c>
      <c r="F175" s="135">
        <v>0</v>
      </c>
      <c r="G175" s="252"/>
      <c r="H175" s="252" t="s">
        <v>119</v>
      </c>
      <c r="I175" s="240"/>
      <c r="J175" s="240"/>
      <c r="K175" s="268"/>
    </row>
    <row r="176" spans="1:12" x14ac:dyDescent="0.25">
      <c r="A176" s="176"/>
      <c r="B176" s="169"/>
      <c r="C176" s="160"/>
      <c r="D176" s="239"/>
      <c r="E176" s="239"/>
      <c r="F176" s="240"/>
      <c r="G176" s="240"/>
      <c r="H176" s="240"/>
      <c r="I176" s="240"/>
      <c r="J176" s="240"/>
      <c r="K176" s="268"/>
    </row>
    <row r="177" spans="1:11" ht="39.6" customHeight="1" x14ac:dyDescent="0.2">
      <c r="A177" s="176"/>
      <c r="B177" s="474" t="s">
        <v>538</v>
      </c>
      <c r="C177" s="160"/>
      <c r="D177" s="465" t="s">
        <v>539</v>
      </c>
      <c r="E177" s="465"/>
      <c r="F177" s="465"/>
      <c r="G177" s="465"/>
      <c r="H177" s="465"/>
      <c r="I177" s="465"/>
      <c r="J177" s="465"/>
      <c r="K177" s="473"/>
    </row>
    <row r="178" spans="1:11" ht="14.25" x14ac:dyDescent="0.2">
      <c r="A178" s="176"/>
      <c r="B178" s="474"/>
      <c r="C178" s="160"/>
      <c r="D178" s="465"/>
      <c r="E178" s="465"/>
      <c r="F178" s="465"/>
      <c r="G178" s="465"/>
      <c r="H178" s="465"/>
      <c r="I178" s="465"/>
      <c r="J178" s="465"/>
      <c r="K178" s="473"/>
    </row>
    <row r="179" spans="1:11" x14ac:dyDescent="0.25">
      <c r="A179" s="176"/>
      <c r="B179" s="169"/>
      <c r="C179" s="160"/>
      <c r="D179" s="239" t="s">
        <v>534</v>
      </c>
      <c r="E179" s="239"/>
      <c r="F179" s="240"/>
      <c r="G179" s="240"/>
      <c r="H179" s="240"/>
      <c r="I179" s="240"/>
      <c r="J179" s="240"/>
      <c r="K179" s="268"/>
    </row>
    <row r="180" spans="1:11" x14ac:dyDescent="0.25">
      <c r="A180" s="176"/>
      <c r="B180" s="169"/>
      <c r="C180" s="160"/>
      <c r="D180" s="239" t="s">
        <v>535</v>
      </c>
      <c r="E180" s="239"/>
      <c r="F180" s="240"/>
      <c r="G180" s="240"/>
      <c r="H180" s="240"/>
      <c r="I180" s="240"/>
      <c r="J180" s="240"/>
      <c r="K180" s="268"/>
    </row>
    <row r="181" spans="1:11" x14ac:dyDescent="0.25">
      <c r="A181" s="176"/>
      <c r="B181" s="169"/>
      <c r="C181" s="160"/>
      <c r="D181" s="239" t="s">
        <v>536</v>
      </c>
      <c r="E181" s="239"/>
      <c r="F181" s="240"/>
      <c r="G181" s="240"/>
      <c r="H181" s="240"/>
      <c r="I181" s="240"/>
      <c r="J181" s="240"/>
      <c r="K181" s="268"/>
    </row>
    <row r="182" spans="1:11" x14ac:dyDescent="0.25">
      <c r="A182" s="176"/>
      <c r="B182" s="169"/>
      <c r="C182" s="160"/>
      <c r="D182" s="239" t="s">
        <v>537</v>
      </c>
      <c r="E182" s="239"/>
      <c r="F182" s="240"/>
      <c r="G182" s="240"/>
      <c r="H182" s="240"/>
      <c r="I182" s="240"/>
      <c r="J182" s="240"/>
      <c r="K182" s="268"/>
    </row>
    <row r="183" spans="1:11" x14ac:dyDescent="0.25">
      <c r="A183" s="176"/>
      <c r="B183" s="169"/>
      <c r="C183" s="160"/>
      <c r="D183" s="239"/>
      <c r="E183" s="239"/>
      <c r="F183" s="240"/>
      <c r="G183" s="240"/>
      <c r="H183" s="240"/>
      <c r="I183" s="240"/>
      <c r="J183" s="240"/>
      <c r="K183" s="268"/>
    </row>
    <row r="184" spans="1:11" x14ac:dyDescent="0.25">
      <c r="A184" s="176"/>
      <c r="B184" s="169"/>
      <c r="C184" s="160"/>
      <c r="D184" s="239" t="s">
        <v>540</v>
      </c>
      <c r="E184" s="239"/>
      <c r="F184" s="240"/>
      <c r="G184" s="240"/>
      <c r="H184" s="240"/>
      <c r="I184" s="240"/>
      <c r="J184" s="240"/>
      <c r="K184" s="268"/>
    </row>
    <row r="185" spans="1:11" ht="48" customHeight="1" x14ac:dyDescent="0.2">
      <c r="A185" s="176"/>
      <c r="B185" s="169"/>
      <c r="C185" s="160"/>
      <c r="D185" s="465" t="s">
        <v>541</v>
      </c>
      <c r="E185" s="465"/>
      <c r="F185" s="465"/>
      <c r="G185" s="465"/>
      <c r="H185" s="465"/>
      <c r="I185" s="465"/>
      <c r="J185" s="465"/>
      <c r="K185" s="473"/>
    </row>
    <row r="186" spans="1:11" ht="78.599999999999994" customHeight="1" x14ac:dyDescent="0.2">
      <c r="A186" s="176"/>
      <c r="B186" s="169"/>
      <c r="C186" s="160"/>
      <c r="D186" s="465" t="s">
        <v>542</v>
      </c>
      <c r="E186" s="465"/>
      <c r="F186" s="465"/>
      <c r="G186" s="465"/>
      <c r="H186" s="465"/>
      <c r="I186" s="465"/>
      <c r="J186" s="465"/>
      <c r="K186" s="473"/>
    </row>
    <row r="187" spans="1:11" x14ac:dyDescent="0.25">
      <c r="A187" s="176"/>
      <c r="B187" s="169"/>
      <c r="C187" s="160"/>
      <c r="D187" s="239"/>
      <c r="E187" s="239"/>
      <c r="F187" s="240"/>
      <c r="G187" s="240"/>
      <c r="H187" s="240"/>
      <c r="I187" s="240"/>
      <c r="J187" s="240"/>
      <c r="K187" s="268"/>
    </row>
    <row r="188" spans="1:11" ht="39.6" customHeight="1" x14ac:dyDescent="0.2">
      <c r="A188" s="176"/>
      <c r="B188" s="474" t="s">
        <v>543</v>
      </c>
      <c r="C188" s="160"/>
      <c r="D188" s="465" t="s">
        <v>544</v>
      </c>
      <c r="E188" s="465"/>
      <c r="F188" s="465"/>
      <c r="G188" s="465"/>
      <c r="H188" s="465"/>
      <c r="I188" s="465"/>
      <c r="J188" s="465"/>
      <c r="K188" s="473"/>
    </row>
    <row r="189" spans="1:11" ht="14.25" x14ac:dyDescent="0.2">
      <c r="A189" s="176"/>
      <c r="B189" s="474"/>
      <c r="C189" s="160"/>
      <c r="D189" s="465"/>
      <c r="E189" s="465"/>
      <c r="F189" s="465"/>
      <c r="G189" s="465"/>
      <c r="H189" s="465"/>
      <c r="I189" s="465"/>
      <c r="J189" s="465"/>
      <c r="K189" s="473"/>
    </row>
    <row r="190" spans="1:11" ht="31.5" customHeight="1" x14ac:dyDescent="0.2">
      <c r="A190" s="176"/>
      <c r="B190" s="169"/>
      <c r="C190" s="160"/>
      <c r="D190" s="465"/>
      <c r="E190" s="465"/>
      <c r="F190" s="465"/>
      <c r="G190" s="465"/>
      <c r="H190" s="465"/>
      <c r="I190" s="465"/>
      <c r="J190" s="465"/>
      <c r="K190" s="473"/>
    </row>
    <row r="191" spans="1:11" ht="16.5" thickBot="1" x14ac:dyDescent="0.3">
      <c r="A191" s="185"/>
      <c r="B191" s="177"/>
      <c r="C191" s="295"/>
      <c r="D191" s="296"/>
      <c r="E191" s="296"/>
      <c r="F191" s="296"/>
      <c r="G191" s="296"/>
      <c r="H191" s="296"/>
      <c r="I191" s="296"/>
      <c r="J191" s="296"/>
      <c r="K191" s="297"/>
    </row>
    <row r="192" spans="1:11" x14ac:dyDescent="0.25">
      <c r="E192" s="259"/>
      <c r="F192" s="259"/>
      <c r="G192" s="259"/>
      <c r="H192" s="259"/>
      <c r="I192" s="259"/>
    </row>
    <row r="195" spans="2:2" ht="15.75" x14ac:dyDescent="0.25">
      <c r="B195" s="157" t="s">
        <v>349</v>
      </c>
    </row>
    <row r="197" spans="2:2" x14ac:dyDescent="0.25">
      <c r="B197" s="158" t="s">
        <v>350</v>
      </c>
    </row>
    <row r="198" spans="2:2" x14ac:dyDescent="0.25">
      <c r="B198" s="158" t="s">
        <v>351</v>
      </c>
    </row>
    <row r="199" spans="2:2" x14ac:dyDescent="0.25">
      <c r="B199" s="158" t="s">
        <v>352</v>
      </c>
    </row>
    <row r="200" spans="2:2" x14ac:dyDescent="0.25">
      <c r="B200" s="158" t="s">
        <v>353</v>
      </c>
    </row>
    <row r="201" spans="2:2" x14ac:dyDescent="0.25">
      <c r="B201" s="158" t="s">
        <v>354</v>
      </c>
    </row>
    <row r="202" spans="2:2" ht="14.25" customHeight="1" x14ac:dyDescent="0.25">
      <c r="B202" s="158" t="s">
        <v>355</v>
      </c>
    </row>
    <row r="207" spans="2:2" ht="14.25" customHeight="1" x14ac:dyDescent="0.25"/>
    <row r="209" ht="25.5" customHeight="1" x14ac:dyDescent="0.25"/>
    <row r="210" ht="25.5" customHeight="1" x14ac:dyDescent="0.25"/>
    <row r="211" ht="25.5" customHeight="1" x14ac:dyDescent="0.25"/>
    <row r="212" ht="171.75" customHeight="1" x14ac:dyDescent="0.25"/>
    <row r="213" ht="25.5" customHeight="1" x14ac:dyDescent="0.25"/>
    <row r="214" ht="25.5" customHeight="1" x14ac:dyDescent="0.25"/>
    <row r="215" ht="25.5" customHeight="1" x14ac:dyDescent="0.25"/>
    <row r="216" ht="25.5" customHeight="1" x14ac:dyDescent="0.25"/>
    <row r="217" ht="25.5" customHeight="1" x14ac:dyDescent="0.25"/>
    <row r="218" ht="25.5" customHeight="1" x14ac:dyDescent="0.25"/>
    <row r="219" ht="25.5" customHeight="1" x14ac:dyDescent="0.25"/>
    <row r="220" ht="25.5" customHeight="1" x14ac:dyDescent="0.25"/>
    <row r="221" ht="25.5" customHeight="1" x14ac:dyDescent="0.25"/>
    <row r="222" ht="25.5" customHeight="1" x14ac:dyDescent="0.25"/>
    <row r="223" ht="25.5" customHeight="1" x14ac:dyDescent="0.25"/>
    <row r="224" ht="25.5" customHeight="1" x14ac:dyDescent="0.25"/>
    <row r="225" spans="1:12" ht="21.75" customHeight="1" x14ac:dyDescent="0.25"/>
    <row r="226" spans="1:12" ht="21.75" customHeight="1" x14ac:dyDescent="0.25"/>
    <row r="227" spans="1:12" ht="21.75" customHeight="1" x14ac:dyDescent="0.25"/>
    <row r="228" spans="1:12" ht="21.75" customHeight="1" x14ac:dyDescent="0.25"/>
    <row r="229" spans="1:12" ht="21.75" customHeight="1" x14ac:dyDescent="0.25"/>
    <row r="230" spans="1:12" ht="21.75" customHeight="1" x14ac:dyDescent="0.25"/>
    <row r="231" spans="1:12" ht="21.75" customHeight="1" x14ac:dyDescent="0.25"/>
    <row r="232" spans="1:12" ht="21.75" customHeight="1" x14ac:dyDescent="0.25"/>
    <row r="233" spans="1:12" ht="21.75" customHeight="1" x14ac:dyDescent="0.25"/>
    <row r="234" spans="1:12" ht="16.5" customHeight="1" x14ac:dyDescent="0.25"/>
    <row r="235" spans="1:12" s="179" customFormat="1" x14ac:dyDescent="0.25">
      <c r="A235" s="158"/>
      <c r="B235" s="158"/>
      <c r="C235" s="158"/>
      <c r="D235" s="237"/>
      <c r="E235" s="237"/>
      <c r="F235" s="238"/>
      <c r="G235" s="238"/>
      <c r="H235" s="238"/>
      <c r="I235" s="238"/>
      <c r="J235" s="238"/>
      <c r="K235" s="238"/>
      <c r="L235" s="159"/>
    </row>
    <row r="239" spans="1:12" ht="6" customHeight="1" x14ac:dyDescent="0.25"/>
  </sheetData>
  <mergeCells count="25">
    <mergeCell ref="D185:K185"/>
    <mergeCell ref="D188:K190"/>
    <mergeCell ref="B188:B189"/>
    <mergeCell ref="B177:B178"/>
    <mergeCell ref="B89:B94"/>
    <mergeCell ref="D165:K165"/>
    <mergeCell ref="B165:C165"/>
    <mergeCell ref="B172:C172"/>
    <mergeCell ref="D172:K172"/>
    <mergeCell ref="D177:K178"/>
    <mergeCell ref="D163:K163"/>
    <mergeCell ref="D146:K147"/>
    <mergeCell ref="D186:K186"/>
    <mergeCell ref="D26:K27"/>
    <mergeCell ref="D28:K33"/>
    <mergeCell ref="D118:K120"/>
    <mergeCell ref="D122:K123"/>
    <mergeCell ref="D138:K138"/>
    <mergeCell ref="D128:K129"/>
    <mergeCell ref="D132:K135"/>
    <mergeCell ref="D55:K56"/>
    <mergeCell ref="D68:K69"/>
    <mergeCell ref="D70:K71"/>
    <mergeCell ref="D98:K98"/>
    <mergeCell ref="G101:K104"/>
  </mergeCells>
  <dataValidations count="1">
    <dataValidation type="list" allowBlank="1" showInputMessage="1" showErrorMessage="1" sqref="F174">
      <formula1>ouinon</formula1>
    </dataValidation>
  </dataValidations>
  <hyperlinks>
    <hyperlink ref="D24" r:id="rId1"/>
    <hyperlink ref="D25" r:id="rId2"/>
    <hyperlink ref="D73" location="'Calcul rentabilité VMC'!B469" display="Il faut se rendre ici"/>
    <hyperlink ref="D124" r:id="rId3" location="2"/>
    <hyperlink ref="M113" r:id="rId4" display="Exemple de certificat NF"/>
    <hyperlink ref="M130" r:id="rId5"/>
  </hyperlinks>
  <pageMargins left="0.7" right="0.7" top="0.75" bottom="0.75" header="0.3" footer="0.3"/>
  <drawing r:id="rId6"/>
  <legacy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showGridLines="0" workbookViewId="0">
      <selection activeCell="C17" sqref="C17"/>
    </sheetView>
  </sheetViews>
  <sheetFormatPr baseColWidth="10" defaultRowHeight="15.75" x14ac:dyDescent="0.25"/>
  <cols>
    <col min="1" max="1" width="11" style="169" customWidth="1"/>
    <col min="2" max="2" width="65.625" style="180" customWidth="1"/>
    <col min="5" max="5" width="30.375" customWidth="1"/>
    <col min="6" max="6" width="1.75" customWidth="1"/>
  </cols>
  <sheetData>
    <row r="1" spans="1:12" x14ac:dyDescent="0.25">
      <c r="A1" s="169">
        <v>1</v>
      </c>
      <c r="C1" s="180"/>
      <c r="D1" s="169" t="s">
        <v>565</v>
      </c>
      <c r="E1" s="180" t="s">
        <v>570</v>
      </c>
      <c r="F1" s="180"/>
      <c r="G1" s="180" t="s">
        <v>566</v>
      </c>
      <c r="H1" s="180"/>
      <c r="I1" s="180"/>
      <c r="J1" s="180"/>
      <c r="K1" s="180"/>
      <c r="L1" s="180"/>
    </row>
    <row r="2" spans="1:12" x14ac:dyDescent="0.25">
      <c r="A2" s="169">
        <v>1.0009999999999999</v>
      </c>
      <c r="B2" s="180" t="s">
        <v>331</v>
      </c>
      <c r="C2" s="180"/>
      <c r="D2" s="180"/>
      <c r="E2" s="369" t="s">
        <v>567</v>
      </c>
      <c r="F2" s="369"/>
      <c r="G2" s="369" t="s">
        <v>568</v>
      </c>
      <c r="H2" s="180"/>
      <c r="I2" s="180"/>
      <c r="J2" s="180"/>
      <c r="K2" s="180"/>
      <c r="L2" s="180"/>
    </row>
    <row r="3" spans="1:12" x14ac:dyDescent="0.25">
      <c r="B3" s="180" t="s">
        <v>332</v>
      </c>
      <c r="C3" s="180"/>
      <c r="D3" s="180"/>
      <c r="E3" s="369" t="s">
        <v>571</v>
      </c>
      <c r="F3" s="369"/>
      <c r="G3" s="369" t="s">
        <v>568</v>
      </c>
      <c r="H3" s="309" t="s">
        <v>572</v>
      </c>
      <c r="I3" s="180"/>
      <c r="J3" s="180"/>
      <c r="K3" s="180"/>
      <c r="L3" s="180"/>
    </row>
    <row r="4" spans="1:12" x14ac:dyDescent="0.25">
      <c r="C4" s="180"/>
      <c r="D4" s="180"/>
      <c r="E4" s="180"/>
      <c r="F4" s="180"/>
      <c r="G4" s="180"/>
      <c r="H4" s="309"/>
      <c r="I4" s="180"/>
      <c r="J4" s="180"/>
      <c r="K4" s="180"/>
      <c r="L4" s="180"/>
    </row>
    <row r="5" spans="1:12" x14ac:dyDescent="0.25">
      <c r="A5" s="169">
        <v>1.002</v>
      </c>
      <c r="B5" s="180" t="s">
        <v>407</v>
      </c>
      <c r="C5" s="180"/>
      <c r="D5" s="180"/>
      <c r="E5" s="180"/>
      <c r="F5" s="180"/>
      <c r="G5" s="180"/>
      <c r="H5" s="180"/>
      <c r="I5" s="180"/>
      <c r="J5" s="180"/>
      <c r="K5" s="180"/>
      <c r="L5" s="180"/>
    </row>
    <row r="6" spans="1:12" x14ac:dyDescent="0.25">
      <c r="B6" s="180" t="s">
        <v>408</v>
      </c>
      <c r="C6" s="180"/>
      <c r="D6" s="180"/>
      <c r="E6" s="475" t="s">
        <v>573</v>
      </c>
      <c r="F6" s="476"/>
      <c r="G6" s="477"/>
      <c r="H6" s="180"/>
      <c r="I6" s="180"/>
      <c r="J6" s="180"/>
      <c r="K6" s="180"/>
      <c r="L6" s="180"/>
    </row>
    <row r="7" spans="1:12" x14ac:dyDescent="0.25">
      <c r="B7" s="180" t="s">
        <v>409</v>
      </c>
      <c r="C7" s="180"/>
      <c r="D7" s="180"/>
      <c r="E7" s="478"/>
      <c r="F7" s="479"/>
      <c r="G7" s="480"/>
      <c r="H7" s="180"/>
      <c r="I7" s="180"/>
      <c r="J7" s="180"/>
      <c r="K7" s="180"/>
      <c r="L7" s="180"/>
    </row>
    <row r="8" spans="1:12" x14ac:dyDescent="0.25">
      <c r="B8" s="180" t="s">
        <v>433</v>
      </c>
      <c r="C8" s="180"/>
      <c r="D8" s="180"/>
      <c r="E8" s="478"/>
      <c r="F8" s="479"/>
      <c r="G8" s="480"/>
      <c r="H8" s="180"/>
      <c r="I8" s="180"/>
      <c r="J8" s="180"/>
      <c r="K8" s="180"/>
      <c r="L8" s="180"/>
    </row>
    <row r="9" spans="1:12" x14ac:dyDescent="0.25">
      <c r="C9" s="180"/>
      <c r="D9" s="180"/>
      <c r="E9" s="478"/>
      <c r="F9" s="479"/>
      <c r="G9" s="480"/>
      <c r="H9" s="180"/>
      <c r="I9" s="180"/>
      <c r="J9" s="180"/>
      <c r="K9" s="180"/>
      <c r="L9" s="180"/>
    </row>
    <row r="10" spans="1:12" x14ac:dyDescent="0.25">
      <c r="A10" s="169">
        <v>1.0029999999999999</v>
      </c>
      <c r="B10" s="180" t="s">
        <v>435</v>
      </c>
      <c r="C10" s="180"/>
      <c r="D10" s="180"/>
      <c r="E10" s="478"/>
      <c r="F10" s="479"/>
      <c r="G10" s="480"/>
      <c r="H10" s="180"/>
      <c r="I10" s="180"/>
      <c r="J10" s="180"/>
      <c r="K10" s="180"/>
      <c r="L10" s="180"/>
    </row>
    <row r="11" spans="1:12" x14ac:dyDescent="0.25">
      <c r="B11" s="180" t="s">
        <v>437</v>
      </c>
      <c r="C11" s="180"/>
      <c r="D11" s="180"/>
      <c r="E11" s="478"/>
      <c r="F11" s="479"/>
      <c r="G11" s="480"/>
      <c r="H11" s="180"/>
      <c r="I11" s="180"/>
      <c r="J11" s="180"/>
      <c r="K11" s="180"/>
      <c r="L11" s="180"/>
    </row>
    <row r="12" spans="1:12" x14ac:dyDescent="0.25">
      <c r="B12" s="180" t="s">
        <v>438</v>
      </c>
      <c r="C12" s="180"/>
      <c r="D12" s="180"/>
      <c r="E12" s="478"/>
      <c r="F12" s="479"/>
      <c r="G12" s="480"/>
      <c r="H12" s="180"/>
      <c r="I12" s="180"/>
      <c r="J12" s="180"/>
      <c r="K12" s="180"/>
      <c r="L12" s="180"/>
    </row>
    <row r="13" spans="1:12" x14ac:dyDescent="0.25">
      <c r="B13" s="180" t="s">
        <v>439</v>
      </c>
      <c r="C13" s="180"/>
      <c r="D13" s="180"/>
      <c r="E13" s="478"/>
      <c r="F13" s="479"/>
      <c r="G13" s="480"/>
      <c r="H13" s="180"/>
      <c r="I13" s="180"/>
      <c r="J13" s="180"/>
      <c r="K13" s="180"/>
      <c r="L13" s="180"/>
    </row>
    <row r="14" spans="1:12" x14ac:dyDescent="0.25">
      <c r="B14" s="180" t="s">
        <v>440</v>
      </c>
      <c r="C14" s="180"/>
      <c r="D14" s="180"/>
      <c r="E14" s="478"/>
      <c r="F14" s="479"/>
      <c r="G14" s="480"/>
      <c r="H14" s="180"/>
      <c r="I14" s="180"/>
      <c r="J14" s="180"/>
      <c r="K14" s="180"/>
      <c r="L14" s="180"/>
    </row>
    <row r="15" spans="1:12" x14ac:dyDescent="0.25">
      <c r="B15" s="180" t="s">
        <v>443</v>
      </c>
      <c r="C15" s="180"/>
      <c r="D15" s="180"/>
      <c r="E15" s="478"/>
      <c r="F15" s="479"/>
      <c r="G15" s="480"/>
      <c r="H15" s="180"/>
      <c r="I15" s="180"/>
      <c r="J15" s="180"/>
      <c r="K15" s="180"/>
      <c r="L15" s="180"/>
    </row>
    <row r="16" spans="1:12" x14ac:dyDescent="0.25">
      <c r="C16" s="180"/>
      <c r="D16" s="180"/>
      <c r="E16" s="478"/>
      <c r="F16" s="479"/>
      <c r="G16" s="480"/>
      <c r="H16" s="180"/>
      <c r="I16" s="180"/>
      <c r="J16" s="180"/>
      <c r="K16" s="180"/>
      <c r="L16" s="180"/>
    </row>
    <row r="17" spans="1:12" x14ac:dyDescent="0.25">
      <c r="A17" s="169">
        <v>1.004</v>
      </c>
      <c r="B17" s="180" t="s">
        <v>446</v>
      </c>
      <c r="C17" s="180"/>
      <c r="D17" s="180"/>
      <c r="E17" s="481"/>
      <c r="F17" s="482"/>
      <c r="G17" s="483"/>
      <c r="H17" s="180"/>
      <c r="I17" s="180"/>
      <c r="J17" s="180"/>
      <c r="K17" s="180"/>
      <c r="L17" s="180"/>
    </row>
    <row r="18" spans="1:12" x14ac:dyDescent="0.25">
      <c r="B18" s="180" t="s">
        <v>447</v>
      </c>
      <c r="C18" s="180"/>
      <c r="D18" s="180"/>
      <c r="E18" s="180"/>
      <c r="F18" s="180"/>
      <c r="G18" s="180"/>
      <c r="H18" s="180"/>
      <c r="I18" s="180"/>
      <c r="J18" s="180"/>
      <c r="K18" s="180"/>
      <c r="L18" s="180"/>
    </row>
    <row r="19" spans="1:12" x14ac:dyDescent="0.25">
      <c r="B19" s="180" t="s">
        <v>448</v>
      </c>
      <c r="C19" s="180"/>
      <c r="D19" s="180"/>
      <c r="E19" s="308" t="s">
        <v>569</v>
      </c>
      <c r="F19" s="180"/>
      <c r="G19" s="180"/>
      <c r="H19" s="180"/>
      <c r="I19" s="180"/>
      <c r="J19" s="180"/>
      <c r="K19" s="180"/>
      <c r="L19" s="180"/>
    </row>
    <row r="20" spans="1:12" x14ac:dyDescent="0.25">
      <c r="C20" s="180"/>
      <c r="D20" s="180"/>
      <c r="E20" s="180"/>
      <c r="F20" s="180"/>
      <c r="G20" s="180"/>
      <c r="H20" s="180"/>
      <c r="I20" s="180"/>
      <c r="J20" s="180"/>
      <c r="K20" s="180"/>
      <c r="L20" s="180"/>
    </row>
    <row r="21" spans="1:12" x14ac:dyDescent="0.25">
      <c r="A21" s="169">
        <v>1.0049999999999999</v>
      </c>
      <c r="B21" s="180" t="s">
        <v>520</v>
      </c>
      <c r="C21" s="180"/>
      <c r="D21" s="180"/>
      <c r="E21" s="180"/>
      <c r="F21" s="180"/>
      <c r="G21" s="180"/>
      <c r="H21" s="180"/>
      <c r="I21" s="180"/>
      <c r="J21" s="180"/>
      <c r="K21" s="180"/>
      <c r="L21" s="180"/>
    </row>
    <row r="22" spans="1:12" x14ac:dyDescent="0.25">
      <c r="B22" s="180" t="s">
        <v>519</v>
      </c>
      <c r="C22" s="180"/>
      <c r="D22" s="180"/>
      <c r="E22" s="180"/>
      <c r="F22" s="180"/>
      <c r="G22" s="180"/>
      <c r="H22" s="180"/>
      <c r="I22" s="180"/>
      <c r="J22" s="180"/>
      <c r="K22" s="180"/>
      <c r="L22" s="180"/>
    </row>
    <row r="23" spans="1:12" x14ac:dyDescent="0.25">
      <c r="B23" s="180" t="s">
        <v>521</v>
      </c>
      <c r="C23" s="180"/>
      <c r="D23" s="180"/>
      <c r="E23" s="180"/>
      <c r="F23" s="180"/>
      <c r="G23" s="180"/>
      <c r="H23" s="180"/>
      <c r="I23" s="180"/>
      <c r="J23" s="180"/>
      <c r="K23" s="180"/>
      <c r="L23" s="180"/>
    </row>
    <row r="24" spans="1:12" x14ac:dyDescent="0.25">
      <c r="B24" s="180" t="s">
        <v>528</v>
      </c>
      <c r="C24" s="180"/>
      <c r="D24" s="180"/>
      <c r="E24" s="180"/>
      <c r="F24" s="180"/>
      <c r="G24" s="180"/>
      <c r="H24" s="180"/>
      <c r="I24" s="180"/>
      <c r="J24" s="180"/>
      <c r="K24" s="180"/>
      <c r="L24" s="180"/>
    </row>
    <row r="25" spans="1:12" x14ac:dyDescent="0.25">
      <c r="B25" s="180" t="s">
        <v>560</v>
      </c>
      <c r="C25" s="180"/>
      <c r="D25" s="180"/>
      <c r="E25" s="180"/>
      <c r="F25" s="180"/>
      <c r="G25" s="180"/>
      <c r="H25" s="180"/>
      <c r="I25" s="180"/>
      <c r="J25" s="180"/>
      <c r="K25" s="180"/>
      <c r="L25" s="180"/>
    </row>
    <row r="26" spans="1:12" x14ac:dyDescent="0.25">
      <c r="C26" s="180"/>
      <c r="D26" s="180"/>
      <c r="E26" s="180"/>
      <c r="F26" s="180"/>
      <c r="G26" s="180"/>
      <c r="H26" s="180"/>
      <c r="I26" s="180"/>
      <c r="J26" s="180"/>
      <c r="K26" s="180"/>
      <c r="L26" s="180"/>
    </row>
    <row r="27" spans="1:12" x14ac:dyDescent="0.25">
      <c r="A27" s="169">
        <v>1.006</v>
      </c>
      <c r="B27" s="180" t="s">
        <v>587</v>
      </c>
      <c r="C27" s="180"/>
      <c r="D27" s="180"/>
      <c r="E27" s="180"/>
      <c r="F27" s="180"/>
      <c r="G27" s="180"/>
      <c r="H27" s="180"/>
      <c r="I27" s="180"/>
      <c r="J27" s="180"/>
      <c r="K27" s="180"/>
      <c r="L27" s="180"/>
    </row>
    <row r="28" spans="1:12" x14ac:dyDescent="0.25">
      <c r="C28" s="180"/>
      <c r="D28" s="180"/>
      <c r="E28" s="180"/>
      <c r="F28" s="180"/>
      <c r="G28" s="180"/>
      <c r="H28" s="180"/>
      <c r="I28" s="180"/>
      <c r="J28" s="180"/>
      <c r="K28" s="180"/>
      <c r="L28" s="180"/>
    </row>
    <row r="29" spans="1:12" x14ac:dyDescent="0.25">
      <c r="A29" s="169">
        <v>1.0069999999999999</v>
      </c>
      <c r="B29" s="180" t="s">
        <v>589</v>
      </c>
      <c r="C29" s="180"/>
      <c r="D29" s="180"/>
      <c r="E29" s="180"/>
      <c r="F29" s="180"/>
      <c r="G29" s="180"/>
      <c r="H29" s="180"/>
      <c r="I29" s="180"/>
      <c r="J29" s="180"/>
      <c r="K29" s="180"/>
      <c r="L29" s="180"/>
    </row>
    <row r="30" spans="1:12" x14ac:dyDescent="0.25">
      <c r="B30" s="180" t="s">
        <v>591</v>
      </c>
      <c r="C30" s="180"/>
      <c r="D30" s="180"/>
      <c r="E30" s="180"/>
      <c r="F30" s="180"/>
      <c r="G30" s="180"/>
      <c r="H30" s="180"/>
      <c r="I30" s="180"/>
      <c r="J30" s="180"/>
      <c r="K30" s="180"/>
      <c r="L30" s="180"/>
    </row>
    <row r="31" spans="1:12" x14ac:dyDescent="0.25">
      <c r="C31" s="180"/>
      <c r="D31" s="180"/>
      <c r="E31" s="180"/>
      <c r="F31" s="180"/>
      <c r="G31" s="180"/>
      <c r="H31" s="180"/>
      <c r="I31" s="180"/>
      <c r="J31" s="180"/>
      <c r="K31" s="180"/>
      <c r="L31" s="180"/>
    </row>
    <row r="32" spans="1:12" x14ac:dyDescent="0.25">
      <c r="A32" s="169">
        <v>1.008</v>
      </c>
      <c r="B32" s="180" t="s">
        <v>631</v>
      </c>
      <c r="C32" s="180"/>
      <c r="D32" s="180"/>
      <c r="E32" s="180"/>
      <c r="F32" s="180"/>
      <c r="G32" s="180"/>
      <c r="H32" s="180"/>
      <c r="I32" s="180"/>
      <c r="J32" s="180"/>
      <c r="K32" s="180"/>
      <c r="L32" s="180"/>
    </row>
    <row r="33" spans="2:12" x14ac:dyDescent="0.25">
      <c r="B33" s="180" t="s">
        <v>632</v>
      </c>
      <c r="C33" s="180"/>
      <c r="D33" s="180"/>
      <c r="E33" s="180"/>
      <c r="F33" s="180"/>
      <c r="G33" s="180"/>
      <c r="H33" s="180"/>
      <c r="I33" s="180"/>
      <c r="J33" s="180"/>
      <c r="K33" s="180"/>
      <c r="L33" s="180"/>
    </row>
    <row r="34" spans="2:12" x14ac:dyDescent="0.25">
      <c r="C34" s="180"/>
      <c r="D34" s="180"/>
      <c r="E34" s="180"/>
      <c r="F34" s="180"/>
      <c r="G34" s="180"/>
      <c r="H34" s="180"/>
      <c r="I34" s="180"/>
      <c r="J34" s="180"/>
      <c r="K34" s="180"/>
      <c r="L34" s="180"/>
    </row>
    <row r="35" spans="2:12" x14ac:dyDescent="0.25">
      <c r="C35" s="180"/>
      <c r="D35" s="180"/>
      <c r="E35" s="180"/>
      <c r="F35" s="180"/>
      <c r="G35" s="180"/>
      <c r="H35" s="180"/>
      <c r="I35" s="180"/>
      <c r="J35" s="180"/>
      <c r="K35" s="180"/>
      <c r="L35" s="180"/>
    </row>
    <row r="36" spans="2:12" x14ac:dyDescent="0.25">
      <c r="C36" s="180"/>
      <c r="D36" s="180"/>
      <c r="E36" s="180"/>
      <c r="F36" s="180"/>
      <c r="G36" s="180"/>
      <c r="H36" s="180"/>
      <c r="I36" s="180"/>
      <c r="J36" s="180"/>
      <c r="K36" s="180"/>
      <c r="L36" s="180"/>
    </row>
    <row r="37" spans="2:12" x14ac:dyDescent="0.25">
      <c r="C37" s="180"/>
      <c r="D37" s="180"/>
      <c r="E37" s="180"/>
      <c r="F37" s="180"/>
      <c r="G37" s="180"/>
      <c r="H37" s="180"/>
      <c r="I37" s="180"/>
      <c r="J37" s="180"/>
      <c r="K37" s="180"/>
      <c r="L37" s="180"/>
    </row>
    <row r="38" spans="2:12" x14ac:dyDescent="0.25">
      <c r="C38" s="180"/>
      <c r="D38" s="180"/>
      <c r="E38" s="180"/>
      <c r="F38" s="180"/>
      <c r="G38" s="180"/>
      <c r="H38" s="180"/>
      <c r="I38" s="180"/>
      <c r="J38" s="180"/>
      <c r="K38" s="180"/>
      <c r="L38" s="180"/>
    </row>
    <row r="39" spans="2:12" x14ac:dyDescent="0.25">
      <c r="C39" s="180"/>
      <c r="D39" s="180"/>
      <c r="E39" s="180"/>
      <c r="F39" s="180"/>
      <c r="G39" s="180"/>
      <c r="H39" s="180"/>
      <c r="I39" s="180"/>
      <c r="J39" s="180"/>
      <c r="K39" s="180"/>
      <c r="L39" s="180"/>
    </row>
    <row r="40" spans="2:12" x14ac:dyDescent="0.25">
      <c r="C40" s="180"/>
      <c r="D40" s="180"/>
      <c r="E40" s="180"/>
      <c r="F40" s="180"/>
      <c r="G40" s="180"/>
      <c r="H40" s="180"/>
      <c r="I40" s="180"/>
      <c r="J40" s="180"/>
      <c r="K40" s="180"/>
      <c r="L40" s="180"/>
    </row>
    <row r="41" spans="2:12" x14ac:dyDescent="0.25">
      <c r="C41" s="180"/>
      <c r="D41" s="180"/>
      <c r="E41" s="180"/>
      <c r="F41" s="180"/>
      <c r="G41" s="180"/>
      <c r="H41" s="180"/>
      <c r="I41" s="180"/>
      <c r="J41" s="180"/>
      <c r="K41" s="180"/>
      <c r="L41" s="180"/>
    </row>
    <row r="42" spans="2:12" x14ac:dyDescent="0.25">
      <c r="C42" s="180"/>
      <c r="D42" s="180"/>
      <c r="E42" s="180"/>
      <c r="F42" s="180"/>
      <c r="G42" s="180"/>
      <c r="H42" s="180"/>
      <c r="I42" s="180"/>
      <c r="J42" s="180"/>
      <c r="K42" s="180"/>
      <c r="L42" s="180"/>
    </row>
    <row r="43" spans="2:12" x14ac:dyDescent="0.25">
      <c r="C43" s="180"/>
      <c r="D43" s="180"/>
      <c r="E43" s="180"/>
      <c r="F43" s="180"/>
      <c r="G43" s="180"/>
      <c r="H43" s="180"/>
      <c r="I43" s="180"/>
      <c r="J43" s="180"/>
      <c r="K43" s="180"/>
      <c r="L43" s="180"/>
    </row>
    <row r="44" spans="2:12" x14ac:dyDescent="0.25">
      <c r="C44" s="180"/>
      <c r="D44" s="180"/>
      <c r="E44" s="180"/>
      <c r="F44" s="180"/>
      <c r="G44" s="180"/>
      <c r="H44" s="180"/>
      <c r="I44" s="180"/>
      <c r="J44" s="180"/>
      <c r="K44" s="180"/>
      <c r="L44" s="180"/>
    </row>
    <row r="45" spans="2:12" x14ac:dyDescent="0.25">
      <c r="C45" s="180"/>
      <c r="D45" s="180"/>
      <c r="E45" s="180"/>
      <c r="F45" s="180"/>
      <c r="G45" s="180"/>
      <c r="H45" s="180"/>
      <c r="I45" s="180"/>
      <c r="J45" s="180"/>
      <c r="K45" s="180"/>
      <c r="L45" s="180"/>
    </row>
    <row r="46" spans="2:12" x14ac:dyDescent="0.25">
      <c r="C46" s="180"/>
      <c r="D46" s="180"/>
      <c r="E46" s="180"/>
      <c r="F46" s="180"/>
      <c r="G46" s="180"/>
      <c r="H46" s="180"/>
      <c r="I46" s="180"/>
      <c r="J46" s="180"/>
      <c r="K46" s="180"/>
      <c r="L46" s="180"/>
    </row>
    <row r="47" spans="2:12" x14ac:dyDescent="0.25">
      <c r="C47" s="180"/>
      <c r="D47" s="180"/>
      <c r="E47" s="180"/>
      <c r="F47" s="180"/>
      <c r="G47" s="180"/>
      <c r="H47" s="180"/>
      <c r="I47" s="180"/>
      <c r="J47" s="180"/>
      <c r="K47" s="180"/>
      <c r="L47" s="180"/>
    </row>
    <row r="48" spans="2:12" x14ac:dyDescent="0.25">
      <c r="C48" s="180"/>
      <c r="D48" s="180"/>
      <c r="E48" s="180"/>
      <c r="F48" s="180"/>
      <c r="G48" s="180"/>
      <c r="H48" s="180"/>
      <c r="I48" s="180"/>
      <c r="J48" s="180"/>
      <c r="K48" s="180"/>
      <c r="L48" s="180"/>
    </row>
    <row r="49" spans="3:12" x14ac:dyDescent="0.25">
      <c r="C49" s="180"/>
      <c r="D49" s="180"/>
      <c r="E49" s="180"/>
      <c r="F49" s="180"/>
      <c r="G49" s="180"/>
      <c r="H49" s="180"/>
      <c r="I49" s="180"/>
      <c r="J49" s="180"/>
      <c r="K49" s="180"/>
      <c r="L49" s="180"/>
    </row>
    <row r="50" spans="3:12" x14ac:dyDescent="0.25">
      <c r="C50" s="180"/>
      <c r="D50" s="180"/>
      <c r="E50" s="180"/>
      <c r="F50" s="180"/>
      <c r="G50" s="180"/>
      <c r="H50" s="180"/>
      <c r="I50" s="180"/>
      <c r="J50" s="180"/>
      <c r="K50" s="180"/>
      <c r="L50" s="180"/>
    </row>
    <row r="51" spans="3:12" x14ac:dyDescent="0.25">
      <c r="C51" s="180"/>
      <c r="D51" s="180"/>
      <c r="E51" s="180"/>
      <c r="F51" s="180"/>
      <c r="G51" s="180"/>
      <c r="H51" s="180"/>
      <c r="I51" s="180"/>
      <c r="J51" s="180"/>
      <c r="K51" s="180"/>
      <c r="L51" s="180"/>
    </row>
    <row r="52" spans="3:12" x14ac:dyDescent="0.25">
      <c r="C52" s="180"/>
      <c r="D52" s="180"/>
      <c r="E52" s="180"/>
      <c r="F52" s="180"/>
      <c r="G52" s="180"/>
      <c r="H52" s="180"/>
      <c r="I52" s="180"/>
      <c r="J52" s="180"/>
      <c r="K52" s="180"/>
      <c r="L52" s="180"/>
    </row>
    <row r="53" spans="3:12" x14ac:dyDescent="0.25">
      <c r="C53" s="180"/>
      <c r="D53" s="180"/>
      <c r="E53" s="180"/>
      <c r="F53" s="180"/>
      <c r="G53" s="180"/>
      <c r="H53" s="180"/>
      <c r="I53" s="180"/>
      <c r="J53" s="180"/>
      <c r="K53" s="180"/>
      <c r="L53" s="180"/>
    </row>
    <row r="54" spans="3:12" x14ac:dyDescent="0.25">
      <c r="C54" s="180"/>
      <c r="D54" s="180"/>
      <c r="E54" s="180"/>
      <c r="F54" s="180"/>
      <c r="G54" s="180"/>
      <c r="H54" s="180"/>
      <c r="I54" s="180"/>
      <c r="J54" s="180"/>
      <c r="K54" s="180"/>
      <c r="L54" s="180"/>
    </row>
    <row r="55" spans="3:12" x14ac:dyDescent="0.25">
      <c r="C55" s="180"/>
      <c r="D55" s="180"/>
      <c r="E55" s="180"/>
      <c r="F55" s="180"/>
      <c r="G55" s="180"/>
      <c r="H55" s="180"/>
      <c r="I55" s="180"/>
      <c r="J55" s="180"/>
      <c r="K55" s="180"/>
      <c r="L55" s="180"/>
    </row>
    <row r="56" spans="3:12" x14ac:dyDescent="0.25">
      <c r="C56" s="180"/>
      <c r="D56" s="180"/>
      <c r="E56" s="180"/>
      <c r="F56" s="180"/>
      <c r="G56" s="180"/>
      <c r="H56" s="180"/>
      <c r="I56" s="180"/>
      <c r="J56" s="180"/>
      <c r="K56" s="180"/>
      <c r="L56" s="180"/>
    </row>
    <row r="57" spans="3:12" x14ac:dyDescent="0.25">
      <c r="C57" s="180"/>
      <c r="D57" s="180"/>
      <c r="E57" s="180"/>
      <c r="F57" s="180"/>
      <c r="G57" s="180"/>
      <c r="H57" s="180"/>
      <c r="I57" s="180"/>
      <c r="J57" s="180"/>
      <c r="K57" s="180"/>
      <c r="L57" s="180"/>
    </row>
    <row r="58" spans="3:12" x14ac:dyDescent="0.25">
      <c r="C58" s="180"/>
      <c r="D58" s="180"/>
      <c r="E58" s="180"/>
      <c r="F58" s="180"/>
      <c r="G58" s="180"/>
      <c r="H58" s="180"/>
      <c r="I58" s="180"/>
      <c r="J58" s="180"/>
      <c r="K58" s="180"/>
      <c r="L58" s="180"/>
    </row>
    <row r="59" spans="3:12" x14ac:dyDescent="0.25">
      <c r="C59" s="180"/>
      <c r="D59" s="180"/>
      <c r="E59" s="180"/>
      <c r="F59" s="180"/>
      <c r="G59" s="180"/>
      <c r="H59" s="180"/>
      <c r="I59" s="180"/>
      <c r="J59" s="180"/>
      <c r="K59" s="180"/>
      <c r="L59" s="180"/>
    </row>
    <row r="60" spans="3:12" x14ac:dyDescent="0.25">
      <c r="C60" s="180"/>
      <c r="D60" s="180"/>
      <c r="E60" s="180"/>
      <c r="F60" s="180"/>
      <c r="G60" s="180"/>
      <c r="H60" s="180"/>
      <c r="I60" s="180"/>
      <c r="J60" s="180"/>
      <c r="K60" s="180"/>
      <c r="L60" s="180"/>
    </row>
    <row r="61" spans="3:12" x14ac:dyDescent="0.25">
      <c r="C61" s="180"/>
      <c r="D61" s="180"/>
      <c r="E61" s="180"/>
      <c r="F61" s="180"/>
      <c r="G61" s="180"/>
      <c r="H61" s="180"/>
      <c r="I61" s="180"/>
      <c r="J61" s="180"/>
      <c r="K61" s="180"/>
      <c r="L61" s="180"/>
    </row>
    <row r="62" spans="3:12" x14ac:dyDescent="0.25">
      <c r="C62" s="180"/>
      <c r="D62" s="180"/>
      <c r="E62" s="180"/>
      <c r="F62" s="180"/>
      <c r="G62" s="180"/>
      <c r="H62" s="180"/>
      <c r="I62" s="180"/>
      <c r="J62" s="180"/>
      <c r="K62" s="180"/>
      <c r="L62" s="180"/>
    </row>
    <row r="63" spans="3:12" x14ac:dyDescent="0.25">
      <c r="C63" s="180"/>
      <c r="D63" s="180"/>
      <c r="E63" s="180"/>
      <c r="F63" s="180"/>
      <c r="G63" s="180"/>
      <c r="H63" s="180"/>
      <c r="I63" s="180"/>
      <c r="J63" s="180"/>
      <c r="K63" s="180"/>
      <c r="L63" s="180"/>
    </row>
    <row r="64" spans="3:12" x14ac:dyDescent="0.25">
      <c r="C64" s="180"/>
      <c r="D64" s="180"/>
      <c r="E64" s="180"/>
      <c r="F64" s="180"/>
      <c r="G64" s="180"/>
      <c r="H64" s="180"/>
      <c r="I64" s="180"/>
      <c r="J64" s="180"/>
      <c r="K64" s="180"/>
      <c r="L64" s="180"/>
    </row>
    <row r="65" spans="3:12" x14ac:dyDescent="0.25">
      <c r="C65" s="180"/>
      <c r="D65" s="180"/>
      <c r="E65" s="180"/>
      <c r="F65" s="180"/>
      <c r="G65" s="180"/>
      <c r="H65" s="180"/>
      <c r="I65" s="180"/>
      <c r="J65" s="180"/>
      <c r="K65" s="180"/>
      <c r="L65" s="180"/>
    </row>
    <row r="66" spans="3:12" x14ac:dyDescent="0.25">
      <c r="C66" s="180"/>
      <c r="D66" s="180"/>
      <c r="E66" s="180"/>
      <c r="F66" s="180"/>
      <c r="G66" s="180"/>
      <c r="H66" s="180"/>
      <c r="I66" s="180"/>
      <c r="J66" s="180"/>
      <c r="K66" s="180"/>
      <c r="L66" s="180"/>
    </row>
    <row r="67" spans="3:12" x14ac:dyDescent="0.25">
      <c r="C67" s="180"/>
      <c r="D67" s="180"/>
      <c r="E67" s="180"/>
      <c r="F67" s="180"/>
      <c r="G67" s="180"/>
      <c r="H67" s="180"/>
      <c r="I67" s="180"/>
      <c r="J67" s="180"/>
      <c r="K67" s="180"/>
      <c r="L67" s="180"/>
    </row>
    <row r="68" spans="3:12" x14ac:dyDescent="0.25">
      <c r="C68" s="180"/>
      <c r="D68" s="180"/>
      <c r="E68" s="180"/>
      <c r="F68" s="180"/>
      <c r="G68" s="180"/>
      <c r="H68" s="180"/>
      <c r="I68" s="180"/>
      <c r="J68" s="180"/>
      <c r="K68" s="180"/>
      <c r="L68" s="180"/>
    </row>
    <row r="69" spans="3:12" x14ac:dyDescent="0.25">
      <c r="C69" s="180"/>
      <c r="D69" s="180"/>
      <c r="E69" s="180"/>
      <c r="F69" s="180"/>
      <c r="G69" s="180"/>
      <c r="H69" s="180"/>
      <c r="I69" s="180"/>
      <c r="J69" s="180"/>
      <c r="K69" s="180"/>
      <c r="L69" s="180"/>
    </row>
    <row r="70" spans="3:12" x14ac:dyDescent="0.25">
      <c r="C70" s="180"/>
      <c r="D70" s="180"/>
      <c r="E70" s="180"/>
      <c r="F70" s="180"/>
      <c r="G70" s="180"/>
      <c r="H70" s="180"/>
      <c r="I70" s="180"/>
      <c r="J70" s="180"/>
      <c r="K70" s="180"/>
      <c r="L70" s="180"/>
    </row>
    <row r="71" spans="3:12" x14ac:dyDescent="0.25">
      <c r="C71" s="180"/>
      <c r="D71" s="180"/>
      <c r="E71" s="180"/>
      <c r="F71" s="180"/>
      <c r="G71" s="180"/>
      <c r="H71" s="180"/>
      <c r="I71" s="180"/>
      <c r="J71" s="180"/>
      <c r="K71" s="180"/>
      <c r="L71" s="180"/>
    </row>
    <row r="72" spans="3:12" x14ac:dyDescent="0.25">
      <c r="C72" s="180"/>
      <c r="D72" s="180"/>
      <c r="E72" s="180"/>
      <c r="F72" s="180"/>
      <c r="G72" s="180"/>
      <c r="H72" s="180"/>
      <c r="I72" s="180"/>
      <c r="J72" s="180"/>
      <c r="K72" s="180"/>
      <c r="L72" s="180"/>
    </row>
    <row r="73" spans="3:12" x14ac:dyDescent="0.25">
      <c r="C73" s="180"/>
      <c r="D73" s="180"/>
      <c r="E73" s="180"/>
      <c r="F73" s="180"/>
      <c r="G73" s="180"/>
      <c r="H73" s="180"/>
      <c r="I73" s="180"/>
      <c r="J73" s="180"/>
      <c r="K73" s="180"/>
      <c r="L73" s="180"/>
    </row>
    <row r="74" spans="3:12" x14ac:dyDescent="0.25">
      <c r="C74" s="180"/>
      <c r="D74" s="180"/>
      <c r="E74" s="180"/>
      <c r="F74" s="180"/>
      <c r="G74" s="180"/>
      <c r="H74" s="180"/>
      <c r="I74" s="180"/>
      <c r="J74" s="180"/>
      <c r="K74" s="180"/>
      <c r="L74" s="180"/>
    </row>
    <row r="75" spans="3:12" x14ac:dyDescent="0.25">
      <c r="C75" s="180"/>
      <c r="D75" s="180"/>
      <c r="E75" s="180"/>
      <c r="F75" s="180"/>
      <c r="G75" s="180"/>
      <c r="H75" s="180"/>
      <c r="I75" s="180"/>
      <c r="J75" s="180"/>
      <c r="K75" s="180"/>
      <c r="L75" s="180"/>
    </row>
    <row r="76" spans="3:12" x14ac:dyDescent="0.25">
      <c r="C76" s="180"/>
      <c r="D76" s="180"/>
      <c r="E76" s="180"/>
      <c r="F76" s="180"/>
      <c r="G76" s="180"/>
      <c r="H76" s="180"/>
      <c r="I76" s="180"/>
      <c r="J76" s="180"/>
      <c r="K76" s="180"/>
      <c r="L76" s="180"/>
    </row>
    <row r="77" spans="3:12" x14ac:dyDescent="0.25">
      <c r="C77" s="180"/>
      <c r="D77" s="180"/>
      <c r="E77" s="180"/>
      <c r="F77" s="180"/>
      <c r="G77" s="180"/>
      <c r="H77" s="180"/>
      <c r="I77" s="180"/>
      <c r="J77" s="180"/>
      <c r="K77" s="180"/>
      <c r="L77" s="180"/>
    </row>
    <row r="78" spans="3:12" x14ac:dyDescent="0.25">
      <c r="C78" s="180"/>
      <c r="D78" s="180"/>
      <c r="E78" s="180"/>
      <c r="F78" s="180"/>
      <c r="G78" s="180"/>
      <c r="H78" s="180"/>
      <c r="I78" s="180"/>
      <c r="J78" s="180"/>
      <c r="K78" s="180"/>
      <c r="L78" s="180"/>
    </row>
    <row r="79" spans="3:12" x14ac:dyDescent="0.25">
      <c r="C79" s="180"/>
      <c r="D79" s="180"/>
      <c r="E79" s="180"/>
      <c r="F79" s="180"/>
      <c r="G79" s="180"/>
      <c r="H79" s="180"/>
      <c r="I79" s="180"/>
      <c r="J79" s="180"/>
      <c r="K79" s="180"/>
      <c r="L79" s="180"/>
    </row>
    <row r="80" spans="3:12" x14ac:dyDescent="0.25">
      <c r="C80" s="180"/>
      <c r="D80" s="180"/>
      <c r="E80" s="180"/>
      <c r="F80" s="180"/>
      <c r="G80" s="180"/>
      <c r="H80" s="180"/>
      <c r="I80" s="180"/>
      <c r="J80" s="180"/>
      <c r="K80" s="180"/>
      <c r="L80" s="180"/>
    </row>
    <row r="81" spans="3:12" x14ac:dyDescent="0.25">
      <c r="C81" s="180"/>
      <c r="D81" s="180"/>
      <c r="E81" s="180"/>
      <c r="F81" s="180"/>
      <c r="G81" s="180"/>
      <c r="H81" s="180"/>
      <c r="I81" s="180"/>
      <c r="J81" s="180"/>
      <c r="K81" s="180"/>
      <c r="L81" s="180"/>
    </row>
    <row r="82" spans="3:12" x14ac:dyDescent="0.25">
      <c r="C82" s="180"/>
      <c r="D82" s="180"/>
      <c r="E82" s="180"/>
      <c r="F82" s="180"/>
      <c r="G82" s="180"/>
      <c r="H82" s="180"/>
      <c r="I82" s="180"/>
      <c r="J82" s="180"/>
      <c r="K82" s="180"/>
      <c r="L82" s="180"/>
    </row>
    <row r="83" spans="3:12" x14ac:dyDescent="0.25">
      <c r="C83" s="180"/>
      <c r="D83" s="180"/>
      <c r="E83" s="180"/>
      <c r="F83" s="180"/>
      <c r="G83" s="180"/>
      <c r="H83" s="180"/>
      <c r="I83" s="180"/>
      <c r="J83" s="180"/>
      <c r="K83" s="180"/>
      <c r="L83" s="180"/>
    </row>
    <row r="84" spans="3:12" x14ac:dyDescent="0.25">
      <c r="C84" s="180"/>
      <c r="D84" s="180"/>
      <c r="E84" s="180"/>
      <c r="F84" s="180"/>
      <c r="G84" s="180"/>
      <c r="H84" s="180"/>
      <c r="I84" s="180"/>
      <c r="J84" s="180"/>
      <c r="K84" s="180"/>
      <c r="L84" s="180"/>
    </row>
    <row r="85" spans="3:12" x14ac:dyDescent="0.25">
      <c r="C85" s="180"/>
      <c r="D85" s="180"/>
      <c r="E85" s="180"/>
      <c r="F85" s="180"/>
      <c r="G85" s="180"/>
      <c r="H85" s="180"/>
      <c r="I85" s="180"/>
      <c r="J85" s="180"/>
      <c r="K85" s="180"/>
      <c r="L85" s="180"/>
    </row>
    <row r="86" spans="3:12" x14ac:dyDescent="0.25">
      <c r="C86" s="180"/>
      <c r="D86" s="180"/>
      <c r="E86" s="180"/>
      <c r="F86" s="180"/>
      <c r="G86" s="180"/>
      <c r="H86" s="180"/>
      <c r="I86" s="180"/>
      <c r="J86" s="180"/>
      <c r="K86" s="180"/>
      <c r="L86" s="180"/>
    </row>
    <row r="87" spans="3:12" x14ac:dyDescent="0.25">
      <c r="C87" s="180"/>
      <c r="D87" s="180"/>
      <c r="E87" s="180"/>
      <c r="F87" s="180"/>
      <c r="G87" s="180"/>
      <c r="H87" s="180"/>
      <c r="I87" s="180"/>
      <c r="J87" s="180"/>
      <c r="K87" s="180"/>
      <c r="L87" s="180"/>
    </row>
    <row r="88" spans="3:12" x14ac:dyDescent="0.25">
      <c r="C88" s="180"/>
      <c r="D88" s="180"/>
      <c r="E88" s="180"/>
      <c r="F88" s="180"/>
      <c r="G88" s="180"/>
      <c r="H88" s="180"/>
      <c r="I88" s="180"/>
      <c r="J88" s="180"/>
      <c r="K88" s="180"/>
      <c r="L88" s="180"/>
    </row>
    <row r="89" spans="3:12" x14ac:dyDescent="0.25">
      <c r="C89" s="180"/>
      <c r="D89" s="180"/>
      <c r="E89" s="180"/>
      <c r="F89" s="180"/>
      <c r="G89" s="180"/>
      <c r="H89" s="180"/>
      <c r="I89" s="180"/>
      <c r="J89" s="180"/>
      <c r="K89" s="180"/>
      <c r="L89" s="180"/>
    </row>
    <row r="90" spans="3:12" x14ac:dyDescent="0.25">
      <c r="C90" s="180"/>
      <c r="D90" s="180"/>
      <c r="E90" s="180"/>
      <c r="F90" s="180"/>
      <c r="G90" s="180"/>
      <c r="H90" s="180"/>
      <c r="I90" s="180"/>
      <c r="J90" s="180"/>
      <c r="K90" s="180"/>
      <c r="L90" s="180"/>
    </row>
    <row r="91" spans="3:12" x14ac:dyDescent="0.25">
      <c r="E91" s="180"/>
      <c r="F91" s="180"/>
      <c r="G91" s="180"/>
      <c r="H91" s="180"/>
    </row>
  </sheetData>
  <mergeCells count="1">
    <mergeCell ref="E6:G17"/>
  </mergeCells>
  <hyperlinks>
    <hyperlink ref="E19" r:id="rId1" location="script_telechargement"/>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124</vt:i4>
      </vt:variant>
    </vt:vector>
  </HeadingPairs>
  <TitlesOfParts>
    <vt:vector size="129" baseType="lpstr">
      <vt:lpstr>Feuil1</vt:lpstr>
      <vt:lpstr>Calcul rentabilité VMC</vt:lpstr>
      <vt:lpstr>Base données</vt:lpstr>
      <vt:lpstr>Lexique</vt:lpstr>
      <vt:lpstr>Notes de version</vt:lpstr>
      <vt:lpstr>Calcul_qinf</vt:lpstr>
      <vt:lpstr>Calcul_qinf2</vt:lpstr>
      <vt:lpstr>Calcul_qvmc_1</vt:lpstr>
      <vt:lpstr>Calcul_qvmc_2</vt:lpstr>
      <vt:lpstr>Choix_batterie</vt:lpstr>
      <vt:lpstr>Choix_caisson</vt:lpstr>
      <vt:lpstr>Choix_caisson2</vt:lpstr>
      <vt:lpstr>Choix_caissonisolé</vt:lpstr>
      <vt:lpstr>Choix_conduits</vt:lpstr>
      <vt:lpstr>Choix_conduits2</vt:lpstr>
      <vt:lpstr>Choix_habitants</vt:lpstr>
      <vt:lpstr>choix_insatisfaits</vt:lpstr>
      <vt:lpstr>Choix_meteo</vt:lpstr>
      <vt:lpstr>Choix_nété</vt:lpstr>
      <vt:lpstr>Choix_niveaun50</vt:lpstr>
      <vt:lpstr>Choix_pcan</vt:lpstr>
      <vt:lpstr>Choix_pcan_2</vt:lpstr>
      <vt:lpstr>Choix_piecesp</vt:lpstr>
      <vt:lpstr>Choix_polluantbati</vt:lpstr>
      <vt:lpstr>Choix_prix_ch</vt:lpstr>
      <vt:lpstr>Choix_prixelec</vt:lpstr>
      <vt:lpstr>Choix_rolepc</vt:lpstr>
      <vt:lpstr>Choix_type_conduits</vt:lpstr>
      <vt:lpstr>Choix_vmc_type</vt:lpstr>
      <vt:lpstr>Choix_vmc_type_2</vt:lpstr>
      <vt:lpstr>Choix_vmc_type2</vt:lpstr>
      <vt:lpstr>Choix_VMCSF</vt:lpstr>
      <vt:lpstr>Choix_VMCSF2</vt:lpstr>
      <vt:lpstr>debit</vt:lpstr>
      <vt:lpstr>dju</vt:lpstr>
      <vt:lpstr>dju_selection</vt:lpstr>
      <vt:lpstr>djuperso</vt:lpstr>
      <vt:lpstr>duree_annuelle</vt:lpstr>
      <vt:lpstr>gain_GAEA</vt:lpstr>
      <vt:lpstr>insatisfaits</vt:lpstr>
      <vt:lpstr>meteo</vt:lpstr>
      <vt:lpstr>Nb_cellier</vt:lpstr>
      <vt:lpstr>Nb_cuisine</vt:lpstr>
      <vt:lpstr>Nb_sdb</vt:lpstr>
      <vt:lpstr>Nb_WC_unique</vt:lpstr>
      <vt:lpstr>ouinon</vt:lpstr>
      <vt:lpstr>rendement</vt:lpstr>
      <vt:lpstr>Selection_caisson</vt:lpstr>
      <vt:lpstr>Selection_caissonisolé</vt:lpstr>
      <vt:lpstr>Selection_exposition</vt:lpstr>
      <vt:lpstr>Selection_n50_RT2005</vt:lpstr>
      <vt:lpstr>Selection_n50_RT2012</vt:lpstr>
      <vt:lpstr>Selection_nbpieces</vt:lpstr>
      <vt:lpstr>Selection_niveaun50</vt:lpstr>
      <vt:lpstr>Selection_protectionvent</vt:lpstr>
      <vt:lpstr>Selection_rolepc</vt:lpstr>
      <vt:lpstr>Selection_surchauffe</vt:lpstr>
      <vt:lpstr>Selection_type_conduits</vt:lpstr>
      <vt:lpstr>Selection_Zone</vt:lpstr>
      <vt:lpstr>Shab</vt:lpstr>
      <vt:lpstr>tableau1b</vt:lpstr>
      <vt:lpstr>tableau1c</vt:lpstr>
      <vt:lpstr>tableau1d</vt:lpstr>
      <vt:lpstr>tableau5b</vt:lpstr>
      <vt:lpstr>tableau5c</vt:lpstr>
      <vt:lpstr>taux_corrige_vent</vt:lpstr>
      <vt:lpstr>taux_corrige_vent2</vt:lpstr>
      <vt:lpstr>Tmini_pcan</vt:lpstr>
      <vt:lpstr>Valeur_conso_elec1</vt:lpstr>
      <vt:lpstr>Valeur_conso_elec2</vt:lpstr>
      <vt:lpstr>Valeur_conso_VMCSF2</vt:lpstr>
      <vt:lpstr>Valeur_consoVMCSF1</vt:lpstr>
      <vt:lpstr>Valeur_COP1</vt:lpstr>
      <vt:lpstr>Valeur_COP2</vt:lpstr>
      <vt:lpstr>Valeur_Cpair</vt:lpstr>
      <vt:lpstr>Valeur_e</vt:lpstr>
      <vt:lpstr>Valeur_Eff1</vt:lpstr>
      <vt:lpstr>Valeur_Eff2</vt:lpstr>
      <vt:lpstr>Valeur_f</vt:lpstr>
      <vt:lpstr>Valeur_gain_pcan1</vt:lpstr>
      <vt:lpstr>Valeur_gain_pcan2</vt:lpstr>
      <vt:lpstr>Valeur_gain_total1</vt:lpstr>
      <vt:lpstr>Valeur_gain_total2</vt:lpstr>
      <vt:lpstr>Valeur_gain_vmc1</vt:lpstr>
      <vt:lpstr>Valeur_gain_vmc2</vt:lpstr>
      <vt:lpstr>Valeur_gainpc_ete</vt:lpstr>
      <vt:lpstr>Valeur_Inv_eco</vt:lpstr>
      <vt:lpstr>Valeur_Inv_VMCDF</vt:lpstr>
      <vt:lpstr>Valeur_Inv_Vmcdf2</vt:lpstr>
      <vt:lpstr>valeur_n</vt:lpstr>
      <vt:lpstr>Valeur_n_var1</vt:lpstr>
      <vt:lpstr>Valeur_n_var2</vt:lpstr>
      <vt:lpstr>Valeur_n50</vt:lpstr>
      <vt:lpstr>Valeur_n50_RT2005</vt:lpstr>
      <vt:lpstr>Valeur_n50_RT2012</vt:lpstr>
      <vt:lpstr>Valeur_ncorr_1</vt:lpstr>
      <vt:lpstr>Valeur_next</vt:lpstr>
      <vt:lpstr>Valeur_next2</vt:lpstr>
      <vt:lpstr>Valeur_nL</vt:lpstr>
      <vt:lpstr>Valeur_nL_RT2005</vt:lpstr>
      <vt:lpstr>Valeur_nL_RT2012</vt:lpstr>
      <vt:lpstr>Valeur_nL2</vt:lpstr>
      <vt:lpstr>Valeur_nWRG_1</vt:lpstr>
      <vt:lpstr>Valeur_nWRG_2</vt:lpstr>
      <vt:lpstr>Valeur_nwrgeff_1</vt:lpstr>
      <vt:lpstr>Valeur_nWRGeff_2</vt:lpstr>
      <vt:lpstr>Valeur_nWRGeffP_1</vt:lpstr>
      <vt:lpstr>Valeur_nWRGeffP_2</vt:lpstr>
      <vt:lpstr>Valeur_prixm²_conduit1</vt:lpstr>
      <vt:lpstr>Valeur_prixm²_conduit2</vt:lpstr>
      <vt:lpstr>Valeur_prixm²_conduit3</vt:lpstr>
      <vt:lpstr>Valeur_prixm²_conduit4</vt:lpstr>
      <vt:lpstr>Valeur_qconduits</vt:lpstr>
      <vt:lpstr>Valeur_RCgl_1</vt:lpstr>
      <vt:lpstr>Valeur_RSI1</vt:lpstr>
      <vt:lpstr>Valeur_RSI2</vt:lpstr>
      <vt:lpstr>Valeur_Tconsigne</vt:lpstr>
      <vt:lpstr>Valeur_Text</vt:lpstr>
      <vt:lpstr>Valeur_TsortiePcan</vt:lpstr>
      <vt:lpstr>Valeur_Vn50</vt:lpstr>
      <vt:lpstr>vmc</vt:lpstr>
      <vt:lpstr>Volume</vt:lpstr>
      <vt:lpstr>Zone_caissonisolé</vt:lpstr>
      <vt:lpstr>'Calcul rentabilité VMC'!Zone_d_impression</vt:lpstr>
      <vt:lpstr>Zone_meteo</vt:lpstr>
      <vt:lpstr>Zone_nbpieces</vt:lpstr>
      <vt:lpstr>Zone_niveaun50</vt:lpstr>
      <vt:lpstr>Zone_rolepc</vt:lpstr>
      <vt:lpstr>Zone_vmc_type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dc:creator>
  <cp:lastModifiedBy>frederic</cp:lastModifiedBy>
  <cp:lastPrinted>2013-07-05T14:35:20Z</cp:lastPrinted>
  <dcterms:created xsi:type="dcterms:W3CDTF">2012-07-03T14:41:13Z</dcterms:created>
  <dcterms:modified xsi:type="dcterms:W3CDTF">2016-12-20T17:44:10Z</dcterms:modified>
</cp:coreProperties>
</file>